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1"/>
  </bookViews>
  <sheets>
    <sheet name="Лист2" sheetId="1" r:id="rId1"/>
    <sheet name="Прайс" sheetId="2" r:id="rId2"/>
  </sheets>
  <definedNames>
    <definedName name="_xlnm.Print_Area" localSheetId="1">'Прайс'!$A$1:$K$577</definedName>
  </definedNames>
  <calcPr fullCalcOnLoad="1"/>
</workbook>
</file>

<file path=xl/sharedStrings.xml><?xml version="1.0" encoding="utf-8"?>
<sst xmlns="http://schemas.openxmlformats.org/spreadsheetml/2006/main" count="1358" uniqueCount="515">
  <si>
    <t>ООО "ВОЛГА  и  К"</t>
  </si>
  <si>
    <t>(4852) 55-22-24, 55-36-20, 55-19-64, 55-35-95, 66-01-47(48)</t>
  </si>
  <si>
    <t>150044, г. Ярославль, ул. Механизаторов, 10</t>
  </si>
  <si>
    <t>Труба бесшовная 273 (325)*8 по цене 38.990 р/т</t>
  </si>
  <si>
    <t xml:space="preserve"> Наименование</t>
  </si>
  <si>
    <t>Резка,</t>
  </si>
  <si>
    <t>Марка стали</t>
  </si>
  <si>
    <t>Размер,</t>
  </si>
  <si>
    <t>Вес п/м,</t>
  </si>
  <si>
    <t>Вес 1 шт.,</t>
  </si>
  <si>
    <t>Цена за шт,</t>
  </si>
  <si>
    <t>Цена за тн с учетом НДС</t>
  </si>
  <si>
    <t>Примечания</t>
  </si>
  <si>
    <t>руб.</t>
  </si>
  <si>
    <t>м.</t>
  </si>
  <si>
    <t>кг.</t>
  </si>
  <si>
    <t>менее 1 т</t>
  </si>
  <si>
    <t>от 1 до 5 т</t>
  </si>
  <si>
    <t>Трубы водогазопроводные ГОСТ 3262-75</t>
  </si>
  <si>
    <t>Труба ф 15*2,8</t>
  </si>
  <si>
    <t xml:space="preserve">Труба ф 20*2,8 </t>
  </si>
  <si>
    <t>Труба ф 25*3,2</t>
  </si>
  <si>
    <t>Труба ф 32*3,2</t>
  </si>
  <si>
    <t>Труба ф 40*3,5</t>
  </si>
  <si>
    <t>Труба ф 50*3,5</t>
  </si>
  <si>
    <t>Труба ф 50*3,5 неконд.</t>
  </si>
  <si>
    <t>непровар шва</t>
  </si>
  <si>
    <t>Трубы водогазопроводные оцинкованные ГОСТ 3262-75</t>
  </si>
  <si>
    <t>2 пс</t>
  </si>
  <si>
    <t>Труба ф 15*2,5</t>
  </si>
  <si>
    <t>Труба ф 25*2,8</t>
  </si>
  <si>
    <t>Трубы электросварные оцинкованные ГОСТ 10704-91, 10705-80</t>
  </si>
  <si>
    <t>Опора ф 57*2,0</t>
  </si>
  <si>
    <t>Труба ф 57*3,0</t>
  </si>
  <si>
    <t>3 пс</t>
  </si>
  <si>
    <t>Труба ф 76*3,0</t>
  </si>
  <si>
    <t>Труба ф 76*3,5</t>
  </si>
  <si>
    <t>Труба ф 76*3,5 / 4</t>
  </si>
  <si>
    <t>немер.</t>
  </si>
  <si>
    <t>6,45 / 7,32</t>
  </si>
  <si>
    <t>Труба ф 89*3,5</t>
  </si>
  <si>
    <t>Труба ф 108*3,5</t>
  </si>
  <si>
    <t>Труба ф 108*4</t>
  </si>
  <si>
    <t>Труба ф 133*4,5</t>
  </si>
  <si>
    <t>Труба ф 159*4,5</t>
  </si>
  <si>
    <t>Трубы электросварные ГОСТ 10704-91, 10705-80</t>
  </si>
  <si>
    <t>Труба ф 28*2</t>
  </si>
  <si>
    <t>ТУ</t>
  </si>
  <si>
    <t>Труба ф 32*2</t>
  </si>
  <si>
    <t>Труба ф 45*2</t>
  </si>
  <si>
    <t>Труба ф 57*3,5 неконд</t>
  </si>
  <si>
    <t>Труба ф 57*3,5</t>
  </si>
  <si>
    <t>резана газом</t>
  </si>
  <si>
    <t>Труба ф 60*3,0 неконд</t>
  </si>
  <si>
    <t>Труба ф 60*3,5 неконд</t>
  </si>
  <si>
    <t>Труба ф 76*2,5 неконд</t>
  </si>
  <si>
    <t>Труба ф 76*3,0 неконд</t>
  </si>
  <si>
    <t>Труба ф 76*4 неконд</t>
  </si>
  <si>
    <t>Труба ф 73*5,5</t>
  </si>
  <si>
    <t>10,5</t>
  </si>
  <si>
    <t>Труба ф 76*4 б.у.</t>
  </si>
  <si>
    <t>Труба ф 89*3,5 неконд</t>
  </si>
  <si>
    <t>6</t>
  </si>
  <si>
    <t>Труба ф 108*4 неконд</t>
  </si>
  <si>
    <t>11,4</t>
  </si>
  <si>
    <t>Труба ф 133*4</t>
  </si>
  <si>
    <t>3 сп</t>
  </si>
  <si>
    <t>Труба ф 133*5</t>
  </si>
  <si>
    <t>4 сп</t>
  </si>
  <si>
    <t>в пути</t>
  </si>
  <si>
    <r>
      <rPr>
        <b/>
        <sz val="9"/>
        <rFont val="Times New Roman"/>
        <family val="1"/>
      </rPr>
      <t>Труба ф 159*</t>
    </r>
    <r>
      <rPr>
        <b/>
        <i/>
        <sz val="9"/>
        <rFont val="Times New Roman"/>
        <family val="1"/>
      </rPr>
      <t>3,5</t>
    </r>
  </si>
  <si>
    <t>Труба ф 159*4</t>
  </si>
  <si>
    <t>Труба ф 219*4</t>
  </si>
  <si>
    <t>12</t>
  </si>
  <si>
    <t>Труба ф 219*4,5</t>
  </si>
  <si>
    <t>11,8</t>
  </si>
  <si>
    <t>Труба ф 219*5</t>
  </si>
  <si>
    <t>Труба ф 219*6</t>
  </si>
  <si>
    <t>11,7</t>
  </si>
  <si>
    <t>Труба ф 219*7</t>
  </si>
  <si>
    <t>Труба ф 273*5</t>
  </si>
  <si>
    <t>5,8</t>
  </si>
  <si>
    <t>Труба ф 273*6</t>
  </si>
  <si>
    <t>11,6</t>
  </si>
  <si>
    <t>Труба ф 273*7</t>
  </si>
  <si>
    <t>Труба ф 273*8</t>
  </si>
  <si>
    <t>Труба ф 325*6</t>
  </si>
  <si>
    <t>Труба ф 325*8 б/у</t>
  </si>
  <si>
    <t>Труба ф 426*6</t>
  </si>
  <si>
    <t>11,68</t>
  </si>
  <si>
    <t>Труба ф 426*7</t>
  </si>
  <si>
    <t>Труба ф 426*8</t>
  </si>
  <si>
    <t>11,65</t>
  </si>
  <si>
    <t>Труба ф 426*9</t>
  </si>
  <si>
    <t>Труба ф 426*10</t>
  </si>
  <si>
    <t>Трубы профильные ГОСТ 8639-82, 8645-68</t>
  </si>
  <si>
    <t>Труба 15*15*1,5</t>
  </si>
  <si>
    <t>Труба 20*20*1,5</t>
  </si>
  <si>
    <t>Труба 20*20*2</t>
  </si>
  <si>
    <t>Труба 25*25*1,5</t>
  </si>
  <si>
    <t>Труба 25*25*2</t>
  </si>
  <si>
    <t>Труба 28*25*2,0</t>
  </si>
  <si>
    <t>Труба 30*30*2</t>
  </si>
  <si>
    <t>Труба 40*20*1,5</t>
  </si>
  <si>
    <t>Труба 40*20*2</t>
  </si>
  <si>
    <t>Труба 40*20*3</t>
  </si>
  <si>
    <t>Труба 40*25*1,5</t>
  </si>
  <si>
    <t>Труба 40*25*2</t>
  </si>
  <si>
    <t>Труба 40*40*1,5</t>
  </si>
  <si>
    <t>Труба 40*40*2</t>
  </si>
  <si>
    <t>Труба 40*40*3</t>
  </si>
  <si>
    <t>Труба 50*25*1,5</t>
  </si>
  <si>
    <t>Труба 50*25*2</t>
  </si>
  <si>
    <t>Труба 50*50*2</t>
  </si>
  <si>
    <t>Труба 50*50*3</t>
  </si>
  <si>
    <t>Труба 60*30*1,5</t>
  </si>
  <si>
    <t>Труба 60*30*2</t>
  </si>
  <si>
    <t>Труба 60*30*3</t>
  </si>
  <si>
    <t>Труба 60*40*2</t>
  </si>
  <si>
    <t>Труба 60*40*4</t>
  </si>
  <si>
    <t>Труба 60*60*2 неконд</t>
  </si>
  <si>
    <t>Труба 60*60*2</t>
  </si>
  <si>
    <t>Труба 60*60*3</t>
  </si>
  <si>
    <t>Труба 60*60*4</t>
  </si>
  <si>
    <t>Труба 80*40*2</t>
  </si>
  <si>
    <t>Труба 80*40*3</t>
  </si>
  <si>
    <t>Труба 80*40*4</t>
  </si>
  <si>
    <t>Труба 80*80*2,5 неконд.</t>
  </si>
  <si>
    <t>Труба 80*80*3 неконд.</t>
  </si>
  <si>
    <t>Труба 80*80*3</t>
  </si>
  <si>
    <t>1 рез в цене</t>
  </si>
  <si>
    <t>Труба 80*80*4</t>
  </si>
  <si>
    <t>Труба 80*80*5</t>
  </si>
  <si>
    <t>Труба 80*80*6</t>
  </si>
  <si>
    <t>Труба 100*50*3</t>
  </si>
  <si>
    <t>Труба 100*100*3 неконд</t>
  </si>
  <si>
    <t>некондиция</t>
  </si>
  <si>
    <t>Труба 100*100*4</t>
  </si>
  <si>
    <t>Труба 120*60*4</t>
  </si>
  <si>
    <t>3 сп 5</t>
  </si>
  <si>
    <t>Труба 120*120*4 неконд</t>
  </si>
  <si>
    <t>Труба 120*120*5</t>
  </si>
  <si>
    <t>Труба 120*120*6</t>
  </si>
  <si>
    <t>Труба 140*140*4</t>
  </si>
  <si>
    <t>Труба 140*140*6</t>
  </si>
  <si>
    <t>Труба 150*100*6</t>
  </si>
  <si>
    <t>Труба 200*200*10</t>
  </si>
  <si>
    <t>Трубы бесшовные горячекатанные ГОСТ 8732-78, 8731-74</t>
  </si>
  <si>
    <t>Труба ф 16*3</t>
  </si>
  <si>
    <t>5,3</t>
  </si>
  <si>
    <t>8734-75</t>
  </si>
  <si>
    <t>Труба ф 25*3,5</t>
  </si>
  <si>
    <t>Труба ф 45*4</t>
  </si>
  <si>
    <t>Труба ф 45*5</t>
  </si>
  <si>
    <t>Труба ф 48*4</t>
  </si>
  <si>
    <t>Труба ф 50*6</t>
  </si>
  <si>
    <t>Труба ф 57*4</t>
  </si>
  <si>
    <t>Труба ф 57*5</t>
  </si>
  <si>
    <t>Труба ф 57*7</t>
  </si>
  <si>
    <t>Труба ф 89*4</t>
  </si>
  <si>
    <t>Труба ф 76*4</t>
  </si>
  <si>
    <t>6,5</t>
  </si>
  <si>
    <t>Труба ф 89*6</t>
  </si>
  <si>
    <t>2012 г.в.</t>
  </si>
  <si>
    <t>Труба ф 108*5</t>
  </si>
  <si>
    <t>Труба ф 108*6</t>
  </si>
  <si>
    <t>Труба ф 159*5</t>
  </si>
  <si>
    <t>Труба ф 159*6</t>
  </si>
  <si>
    <t>2013 г.в.</t>
  </si>
  <si>
    <t>Труба ф 159*7</t>
  </si>
  <si>
    <t>2014 г.в.</t>
  </si>
  <si>
    <t>Труба ф 273*9</t>
  </si>
  <si>
    <t>Труба ф 325*8</t>
  </si>
  <si>
    <t>Труба ф 377*9</t>
  </si>
  <si>
    <t>11,09</t>
  </si>
  <si>
    <t>6,17</t>
  </si>
  <si>
    <t>Лист х/к ГОСТ 16523-97</t>
  </si>
  <si>
    <t>Лист х/к 0,5 мм</t>
  </si>
  <si>
    <t>08 ПС</t>
  </si>
  <si>
    <t>1,25х2,5</t>
  </si>
  <si>
    <t>пачками</t>
  </si>
  <si>
    <t>1,0х2,0</t>
  </si>
  <si>
    <t>Лист х/к 0,55 мм</t>
  </si>
  <si>
    <t>Лист х/к 0,6 мм</t>
  </si>
  <si>
    <t>7 ПС</t>
  </si>
  <si>
    <t>Лист х/к 0,7 мм</t>
  </si>
  <si>
    <t>Лист х/к 0,8 мм</t>
  </si>
  <si>
    <t>Лист х/к 0,9 мм</t>
  </si>
  <si>
    <t>Лист х/к 1,0 мм</t>
  </si>
  <si>
    <t>Лист х/к 1,5 мм</t>
  </si>
  <si>
    <t>Лист х/к 2,0 мм</t>
  </si>
  <si>
    <t>Лист х/к 2,5 мм</t>
  </si>
  <si>
    <t>Лист х/к 3,0 мм</t>
  </si>
  <si>
    <t>Лист г/к ГОСТ 16523-97, 14637-89</t>
  </si>
  <si>
    <t>Лист г/к 1,5 мм</t>
  </si>
  <si>
    <t>Лист г/к 1,8 мм</t>
  </si>
  <si>
    <t>Лист г/к 2,0 мм</t>
  </si>
  <si>
    <t>3 ПС</t>
  </si>
  <si>
    <t>Лист г/к 2,5 мм</t>
  </si>
  <si>
    <t>Лист г/к 3,0 мм</t>
  </si>
  <si>
    <t>3 СП</t>
  </si>
  <si>
    <t>1,5х3,0</t>
  </si>
  <si>
    <t>1,5х6,0</t>
  </si>
  <si>
    <t>Лист г/к 4,0 мм</t>
  </si>
  <si>
    <t>Лист г/к 5,0 мм</t>
  </si>
  <si>
    <t>1,3х6,0</t>
  </si>
  <si>
    <t xml:space="preserve">Лист г/к 6,0 мм </t>
  </si>
  <si>
    <t>Лист г/к 8,0 мм</t>
  </si>
  <si>
    <t>Лист г/к 10 мм</t>
  </si>
  <si>
    <t>2,0х6,0</t>
  </si>
  <si>
    <t>1,8х6,0</t>
  </si>
  <si>
    <t>Лист г/к 12 мм</t>
  </si>
  <si>
    <t>Лист г/к 14 мм</t>
  </si>
  <si>
    <t>Лист г/к 16 мм</t>
  </si>
  <si>
    <t>Лист г/к 20 мм</t>
  </si>
  <si>
    <t>Лист г/к 25 мм</t>
  </si>
  <si>
    <t>Лист г/к 30 мм</t>
  </si>
  <si>
    <t>Лист г/к 40 мм</t>
  </si>
  <si>
    <t>Лист рифленый ГОСТ 8568-77</t>
  </si>
  <si>
    <t>Лист г/к 2,5 мм рифл.</t>
  </si>
  <si>
    <t>1,24х2,45</t>
  </si>
  <si>
    <t>чечевица</t>
  </si>
  <si>
    <t>Лист г/к 3 мм рифл.</t>
  </si>
  <si>
    <t>1,0х2,5</t>
  </si>
  <si>
    <t>Лист г/к 4 мм рифл.</t>
  </si>
  <si>
    <t>ромб</t>
  </si>
  <si>
    <t>Лист г/к 5 мм рифл.</t>
  </si>
  <si>
    <t>Лист г/к 6 мм рифл.</t>
  </si>
  <si>
    <t>Лист просечно-вытяжной</t>
  </si>
  <si>
    <t>Лист ПВЛ-406</t>
  </si>
  <si>
    <t>15,9кг/м2</t>
  </si>
  <si>
    <t>1,0х2,1</t>
  </si>
  <si>
    <t>1,0х2,2</t>
  </si>
  <si>
    <t>1,0х2,45</t>
  </si>
  <si>
    <t>1,0х3,0</t>
  </si>
  <si>
    <t>17,22 кг/м2</t>
  </si>
  <si>
    <t>1,0х3,15</t>
  </si>
  <si>
    <t>1,25х2,9</t>
  </si>
  <si>
    <t>1,25х3,1</t>
  </si>
  <si>
    <t>Лист ПВЛ-408</t>
  </si>
  <si>
    <t>18,3 кг/м2</t>
  </si>
  <si>
    <t>Лист ПВЛ-506</t>
  </si>
  <si>
    <t>1,2х2,06</t>
  </si>
  <si>
    <t>1,0х2,4</t>
  </si>
  <si>
    <t>18,8кг/м2</t>
  </si>
  <si>
    <t>1,0х2,8</t>
  </si>
  <si>
    <t>1,0х2,9</t>
  </si>
  <si>
    <t>1,0х3,3</t>
  </si>
  <si>
    <t>1,2х2,65</t>
  </si>
  <si>
    <t>1,2х2,8</t>
  </si>
  <si>
    <t>1,22х3,2</t>
  </si>
  <si>
    <t>Лист ПВЛ-508</t>
  </si>
  <si>
    <t>21,8кг/м2</t>
  </si>
  <si>
    <t>Лист ПВЛ-510</t>
  </si>
  <si>
    <t>1,1х3,0</t>
  </si>
  <si>
    <t>Балка</t>
  </si>
  <si>
    <t>Балка № 10 Б1</t>
  </si>
  <si>
    <t>Балка № 10</t>
  </si>
  <si>
    <t>9</t>
  </si>
  <si>
    <t xml:space="preserve">Балка № 12 </t>
  </si>
  <si>
    <t>Балка № 12 Б1</t>
  </si>
  <si>
    <t>Балка № 14</t>
  </si>
  <si>
    <t>Балка № 16</t>
  </si>
  <si>
    <t>Балка № 16 Б1</t>
  </si>
  <si>
    <t>Балка № 18</t>
  </si>
  <si>
    <t xml:space="preserve">Балка № 20 </t>
  </si>
  <si>
    <t>Балка № 20 Б1</t>
  </si>
  <si>
    <t>4 СП</t>
  </si>
  <si>
    <t>Балка № 20 К1</t>
  </si>
  <si>
    <t>5 СП</t>
  </si>
  <si>
    <t>Балка № 24 М</t>
  </si>
  <si>
    <t>лежалая</t>
  </si>
  <si>
    <t>Балка № 25 Б1</t>
  </si>
  <si>
    <t>7 СП</t>
  </si>
  <si>
    <t>Балка № 25 Ш1</t>
  </si>
  <si>
    <t>8 СП</t>
  </si>
  <si>
    <t>Балка № 30 Б1</t>
  </si>
  <si>
    <t>Балка № 30 Ш2</t>
  </si>
  <si>
    <t>09г2с</t>
  </si>
  <si>
    <t>немер</t>
  </si>
  <si>
    <t>Балка № 30 М</t>
  </si>
  <si>
    <t>Балка № 36 М</t>
  </si>
  <si>
    <t>Балка № 40 Б1</t>
  </si>
  <si>
    <t>Швеллер ГОСТ 8240-97</t>
  </si>
  <si>
    <t>Швеллер № 5</t>
  </si>
  <si>
    <t>Швеллер № 5П</t>
  </si>
  <si>
    <t>Швеллер № 6,5П / У</t>
  </si>
  <si>
    <t>3 СП-5</t>
  </si>
  <si>
    <t>Швеллер № 6,5У</t>
  </si>
  <si>
    <t>Швеллер № 8П</t>
  </si>
  <si>
    <t>Швеллер № 10У</t>
  </si>
  <si>
    <t>3 ПС-5</t>
  </si>
  <si>
    <t>Швеллер № 10П</t>
  </si>
  <si>
    <t>Швеллер № 12П</t>
  </si>
  <si>
    <t>Швеллер № 12У</t>
  </si>
  <si>
    <t>Швеллер № 14У</t>
  </si>
  <si>
    <t>Швеллер № 14П / У</t>
  </si>
  <si>
    <t>2 СП</t>
  </si>
  <si>
    <t>Швеллер № 14П</t>
  </si>
  <si>
    <t>Швеллер № 16П</t>
  </si>
  <si>
    <t>Швеллер № 16У</t>
  </si>
  <si>
    <t>11</t>
  </si>
  <si>
    <t>Швеллер № 18У</t>
  </si>
  <si>
    <t>Швеллер № 18П</t>
  </si>
  <si>
    <t>Швеллер № 20У</t>
  </si>
  <si>
    <t>Швеллер № 20П</t>
  </si>
  <si>
    <t>Швеллер № 20П / У</t>
  </si>
  <si>
    <t>11,5</t>
  </si>
  <si>
    <t>Швеллер № 22П</t>
  </si>
  <si>
    <t>Не отрезаем</t>
  </si>
  <si>
    <t>Швеллер № 24У</t>
  </si>
  <si>
    <t>Швеллер № 24П</t>
  </si>
  <si>
    <r>
      <rPr>
        <sz val="9"/>
        <rFont val="Times New Roman"/>
        <family val="1"/>
      </rPr>
      <t>Швеллер № 24</t>
    </r>
    <r>
      <rPr>
        <b/>
        <sz val="9"/>
        <rFont val="Times New Roman"/>
        <family val="1"/>
      </rPr>
      <t>У</t>
    </r>
  </si>
  <si>
    <r>
      <rPr>
        <sz val="9"/>
        <rFont val="Times New Roman"/>
        <family val="1"/>
      </rPr>
      <t>Швеллер № 24</t>
    </r>
    <r>
      <rPr>
        <b/>
        <sz val="9"/>
        <rFont val="Times New Roman"/>
        <family val="1"/>
      </rPr>
      <t>П</t>
    </r>
  </si>
  <si>
    <t>Швеллер № 27У</t>
  </si>
  <si>
    <t>Швеллер № 30П</t>
  </si>
  <si>
    <t>Швеллер № 40У</t>
  </si>
  <si>
    <t>Уголок ГОСТ 8509-93</t>
  </si>
  <si>
    <t>Уголок 25*25*3</t>
  </si>
  <si>
    <t>Уголок 25*25*4</t>
  </si>
  <si>
    <t>Уголок 32*32*3</t>
  </si>
  <si>
    <t>Уголок 32*32*4</t>
  </si>
  <si>
    <t>Уголок 35*35*4</t>
  </si>
  <si>
    <t>Уголок 40*40*3</t>
  </si>
  <si>
    <t>Уголок 40*40*4</t>
  </si>
  <si>
    <t>Уголок 45*45*4</t>
  </si>
  <si>
    <t>Уголок 50*50*5</t>
  </si>
  <si>
    <t>Уголок 50*50*4</t>
  </si>
  <si>
    <t>Уголок 63*63*4</t>
  </si>
  <si>
    <t>Уголок 63*63*5</t>
  </si>
  <si>
    <t>Уголок 63*63*6</t>
  </si>
  <si>
    <t>Уголок 75*75*6</t>
  </si>
  <si>
    <t>Немер.</t>
  </si>
  <si>
    <t>Уголок 75*75*5</t>
  </si>
  <si>
    <t>Уголок 80*80*6</t>
  </si>
  <si>
    <t>Уголок 90*90*6</t>
  </si>
  <si>
    <t>Уголок 90*90*7</t>
  </si>
  <si>
    <t>Уголок 90*90*8</t>
  </si>
  <si>
    <t>Уголок 100*100*7</t>
  </si>
  <si>
    <t>Уголок 100*100*8</t>
  </si>
  <si>
    <t>Уголок 100*100*10</t>
  </si>
  <si>
    <t>Уголок 125*125*8</t>
  </si>
  <si>
    <t>Уголок 125*125*9</t>
  </si>
  <si>
    <t>Уголок 125*125*10</t>
  </si>
  <si>
    <t>10,4</t>
  </si>
  <si>
    <t>Уголок 140*140*12</t>
  </si>
  <si>
    <t>Уголок 160*160*10</t>
  </si>
  <si>
    <t>Уголок 160*160*12</t>
  </si>
  <si>
    <t>Профнастил</t>
  </si>
  <si>
    <t>Профнастил С 8</t>
  </si>
  <si>
    <t>0,45 мм</t>
  </si>
  <si>
    <t>1,15х6,0</t>
  </si>
  <si>
    <t>RAL 8017</t>
  </si>
  <si>
    <t>0,5 мм</t>
  </si>
  <si>
    <t>1,15х2,0</t>
  </si>
  <si>
    <t>RAL 6005</t>
  </si>
  <si>
    <t>RAL 3005</t>
  </si>
  <si>
    <t>0,55 мм</t>
  </si>
  <si>
    <t>0,7 мм</t>
  </si>
  <si>
    <t>Профнастил С 20</t>
  </si>
  <si>
    <t>1,1х6,0</t>
  </si>
  <si>
    <t>Профнастил С 21</t>
  </si>
  <si>
    <t>1,0х6,0</t>
  </si>
  <si>
    <t>Профнастил НС 35</t>
  </si>
  <si>
    <t>с налетом</t>
  </si>
  <si>
    <t>Профнастил Н 57</t>
  </si>
  <si>
    <t>0,75х6,0</t>
  </si>
  <si>
    <t>0,9х6,0</t>
  </si>
  <si>
    <t>Профнастил Н 75</t>
  </si>
  <si>
    <t>Профнастил Н 114</t>
  </si>
  <si>
    <t>0,9 мм</t>
  </si>
  <si>
    <t>0,75х4,48</t>
  </si>
  <si>
    <t>Лист оцинкованный ГОСТ 14918-80</t>
  </si>
  <si>
    <t>Лист оц. 0,5 мм</t>
  </si>
  <si>
    <t>Лист оц. 0,55 мм</t>
  </si>
  <si>
    <t>Лист оц. 0,7 мм</t>
  </si>
  <si>
    <t>Лист оц. 0,8 мм</t>
  </si>
  <si>
    <t>Лист оц. 1,0 мм</t>
  </si>
  <si>
    <t>Лист оц. 1,5 мм</t>
  </si>
  <si>
    <t>Лист оц. 2,0 мм</t>
  </si>
  <si>
    <t>Лист оц. 3,0 мм</t>
  </si>
  <si>
    <t>Лист оц. 1,2 мм</t>
  </si>
  <si>
    <t>Арматура</t>
  </si>
  <si>
    <t>Арматура ф 6 мм</t>
  </si>
  <si>
    <t>А500С</t>
  </si>
  <si>
    <t>Арматура ф 8 мм</t>
  </si>
  <si>
    <t>35 ГС</t>
  </si>
  <si>
    <t>бухта</t>
  </si>
  <si>
    <t>Арматура ф 10 мм</t>
  </si>
  <si>
    <t>Арматура ф 12 мм</t>
  </si>
  <si>
    <t xml:space="preserve">Арматура ф 14 мм </t>
  </si>
  <si>
    <t>Арматура ф 16 мм</t>
  </si>
  <si>
    <t>Арматура ф 18 мм</t>
  </si>
  <si>
    <t>Арматура ф 20 мм</t>
  </si>
  <si>
    <t>Арматура ф 22 мм</t>
  </si>
  <si>
    <t>Арматура ф 25 мм</t>
  </si>
  <si>
    <t>Арматура ф 28 мм</t>
  </si>
  <si>
    <t>Арматура ф 32 мм</t>
  </si>
  <si>
    <t>Катанка ТУ 14-1-5282-94</t>
  </si>
  <si>
    <t>Катанка ф 6 мм</t>
  </si>
  <si>
    <t>Катанка ф 6,5 мм</t>
  </si>
  <si>
    <t>Катанка ф 8 мм</t>
  </si>
  <si>
    <t>Катанка ф 10 мм</t>
  </si>
  <si>
    <t>Круг ГОСТ 2590-88</t>
  </si>
  <si>
    <t>Круг ф 7 мм</t>
  </si>
  <si>
    <t>калибр.</t>
  </si>
  <si>
    <t>Круг ф 10 мм</t>
  </si>
  <si>
    <t>3 пс/сп</t>
  </si>
  <si>
    <t>Круг ф 12 мм</t>
  </si>
  <si>
    <t>Круг ф 14 мм</t>
  </si>
  <si>
    <t>Круг ф 16 мм</t>
  </si>
  <si>
    <t>Круг ф 18 мм</t>
  </si>
  <si>
    <t>Круг ф 20 мм</t>
  </si>
  <si>
    <t>Круг ф 22 мм</t>
  </si>
  <si>
    <t>Круг ф 24 мм</t>
  </si>
  <si>
    <t>Круг ф 25 мм</t>
  </si>
  <si>
    <t>Круг ф 28 мм</t>
  </si>
  <si>
    <t>Круг ф 30 мм</t>
  </si>
  <si>
    <t>Круг ф 36 мм</t>
  </si>
  <si>
    <t>4,8</t>
  </si>
  <si>
    <t>Круг ф 38 мм</t>
  </si>
  <si>
    <t>Круг ф 40 мм</t>
  </si>
  <si>
    <t>Круг ф 42 мм</t>
  </si>
  <si>
    <t>Круг ф 45 мм</t>
  </si>
  <si>
    <t xml:space="preserve">Круг ф 48 мм </t>
  </si>
  <si>
    <t>Круг ф 50 мм</t>
  </si>
  <si>
    <t>Круг ф 56 мм</t>
  </si>
  <si>
    <t>Круг ф 60 мм</t>
  </si>
  <si>
    <t>Круг ф 70 мм</t>
  </si>
  <si>
    <t>Круг ф 65 мм</t>
  </si>
  <si>
    <t>20Х13</t>
  </si>
  <si>
    <t>Круг ф 80 мм</t>
  </si>
  <si>
    <t>5,55</t>
  </si>
  <si>
    <t>Круг ф 85 мм</t>
  </si>
  <si>
    <t>Круг ф 90 мм</t>
  </si>
  <si>
    <t>Круг ф 100 мм</t>
  </si>
  <si>
    <t>Круг ф 110 мм</t>
  </si>
  <si>
    <t>Круг ф 120 мм</t>
  </si>
  <si>
    <t>Круг ф 150 мм</t>
  </si>
  <si>
    <t>Круг ф 160 мм</t>
  </si>
  <si>
    <t>Круг ф 230 мм</t>
  </si>
  <si>
    <t>0,25</t>
  </si>
  <si>
    <t>Квадрат ГОСТ 2591-88</t>
  </si>
  <si>
    <t>Квадрат 10х10</t>
  </si>
  <si>
    <t>5</t>
  </si>
  <si>
    <t>Квадрат 12х12</t>
  </si>
  <si>
    <t>Квадрат 14х14</t>
  </si>
  <si>
    <t>Квадрат 16х16</t>
  </si>
  <si>
    <t>Квадрат 20х20</t>
  </si>
  <si>
    <t>Квадрат 25х25</t>
  </si>
  <si>
    <t>5,4</t>
  </si>
  <si>
    <t>Квадрат 40х40</t>
  </si>
  <si>
    <t>Шестигранник ГОСТ 2879-88</t>
  </si>
  <si>
    <t>Шестигранник № 10</t>
  </si>
  <si>
    <t>3,5</t>
  </si>
  <si>
    <t>Шестигранник № 12</t>
  </si>
  <si>
    <t>Шестигранник № 14</t>
  </si>
  <si>
    <t>Шестигранник № 17</t>
  </si>
  <si>
    <t>Шестигранник № 19</t>
  </si>
  <si>
    <t>Шестигранник № 22</t>
  </si>
  <si>
    <t>Шестигранник № 24</t>
  </si>
  <si>
    <t>Шестигранник № 26</t>
  </si>
  <si>
    <t>4</t>
  </si>
  <si>
    <t>Шестигранник № 27</t>
  </si>
  <si>
    <t>Шестигранник № 30</t>
  </si>
  <si>
    <t>Шестигранник № 32</t>
  </si>
  <si>
    <t>Шестигранник № 36</t>
  </si>
  <si>
    <t>Шестигранник № 41</t>
  </si>
  <si>
    <t>Шестигранник № 46</t>
  </si>
  <si>
    <t>Полоса</t>
  </si>
  <si>
    <t>Полоса 20*4</t>
  </si>
  <si>
    <t>Полоса 25*4</t>
  </si>
  <si>
    <t>Полоса 25*5,0</t>
  </si>
  <si>
    <t>Полоса 30*4</t>
  </si>
  <si>
    <t>Полоса 40*4</t>
  </si>
  <si>
    <t>Полоса 40*6</t>
  </si>
  <si>
    <t>Полоса 50*4</t>
  </si>
  <si>
    <t>Полоса 50*5</t>
  </si>
  <si>
    <t>Полоса 50*6</t>
  </si>
  <si>
    <t>7</t>
  </si>
  <si>
    <t>Полоса 60*5</t>
  </si>
  <si>
    <t>Полоса 80*6</t>
  </si>
  <si>
    <t>Полоса 80*8</t>
  </si>
  <si>
    <t>Полоса 100*8</t>
  </si>
  <si>
    <t>Сетка арматурная сварная из проволоки ВР-1</t>
  </si>
  <si>
    <t>Сетка 50*50*3</t>
  </si>
  <si>
    <t>0,5х2,0</t>
  </si>
  <si>
    <t>Сетка 50*50*4</t>
  </si>
  <si>
    <t>0,38х2,0</t>
  </si>
  <si>
    <t>1,5х2,0</t>
  </si>
  <si>
    <t>Сетка 100*100*4</t>
  </si>
  <si>
    <t>2,0х2,5</t>
  </si>
  <si>
    <t>2,0х3,0</t>
  </si>
  <si>
    <t>Сетка 100*100*5</t>
  </si>
  <si>
    <t>Сетка 150*150*4</t>
  </si>
  <si>
    <t>Сетка 150*150*5</t>
  </si>
  <si>
    <t>Сетка 200*200*4</t>
  </si>
  <si>
    <t>Сетка рабица оц. 50*50*1,8</t>
  </si>
  <si>
    <t>1,5х10</t>
  </si>
  <si>
    <t>Проволока</t>
  </si>
  <si>
    <t>Проволока ф 1,2</t>
  </si>
  <si>
    <t>отмотка +50%</t>
  </si>
  <si>
    <t>ф 3,0 (для газ.сварки)</t>
  </si>
  <si>
    <t>Св-08(А)</t>
  </si>
  <si>
    <t>ВР-1 3 мм</t>
  </si>
  <si>
    <t>ВР-1 4 мм</t>
  </si>
  <si>
    <t>При объеме свыше 8 т - бесплатная доставка автотранспортом по г. Ярославлю.</t>
  </si>
  <si>
    <t>Отгрузка металлопродукции осуществляется с полным комплексом услуг по</t>
  </si>
  <si>
    <t>погрузке, разгрузке, складированию, резке и хранению.</t>
  </si>
  <si>
    <t>Возможны различные условия оплаты, на значительные объемы гибкая система скидок.</t>
  </si>
  <si>
    <t xml:space="preserve">Время работы склада с 8.00 - 17.00   </t>
  </si>
  <si>
    <t>При объеме менее 1 шт. г/к листа (4,0-40мм) - действует наценка 5 %</t>
  </si>
  <si>
    <t>Если Вас заинтересовала наша продукция, мы готовы рассмотреть Ваши предложения</t>
  </si>
  <si>
    <t>и проконсультировать по всем интересующим Вас вопросам.</t>
  </si>
  <si>
    <t>Надеемся на долгосрочное и взаимовыгодное сотрудничество!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</si>
</sst>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.00&quot;р. &quot;;\-* #,##0.00&quot;р. &quot;;\ * \-#&quot;р. &quot;;@\ "/>
    <numFmt numFmtId="165" formatCode="\ * #,##0&quot;р. &quot;;\-* #,##0&quot;р. &quot;;\ * \-#&quot;р. &quot;;@\ "/>
    <numFmt numFmtId="166" formatCode="#,##0&quot;р.&quot;"/>
    <numFmt numFmtId="167" formatCode="dd/mm/yy"/>
    <numFmt numFmtId="168" formatCode="dd/mm/yy;@"/>
    <numFmt numFmtId="169" formatCode="#,##0.00&quot;р.&quot;"/>
    <numFmt numFmtId="170" formatCode="#,##0.00\ [$руб.-419];[Red]\-#,##0.00\ [$руб.-419]"/>
    <numFmt numFmtId="171" formatCode="0.000"/>
    <numFmt numFmtId="172" formatCode="0.0"/>
    <numFmt numFmtId="173" formatCode="#"/>
    <numFmt numFmtId="174" formatCode="\ * #,##0.00&quot;    &quot;;\-* #,##0.00&quot;    &quot;;\ * \-#&quot;    &quot;;@\ "/>
  </numFmts>
  <fonts count="68">
    <font>
      <sz val="10"/>
      <name val="Arial Cyr"/>
      <family val="2"/>
    </font>
    <font>
      <sz val="10"/>
      <name val="Arial"/>
      <family val="0"/>
    </font>
    <font>
      <b/>
      <i/>
      <sz val="20"/>
      <name val="Tahoma"/>
      <family val="2"/>
    </font>
    <font>
      <b/>
      <i/>
      <sz val="14"/>
      <name val="Tahoma"/>
      <family val="2"/>
    </font>
    <font>
      <b/>
      <i/>
      <sz val="12"/>
      <name val="Tahoma"/>
      <family val="2"/>
    </font>
    <font>
      <u val="single"/>
      <sz val="10"/>
      <color indexed="12"/>
      <name val="Arial Cyr"/>
      <family val="2"/>
    </font>
    <font>
      <b/>
      <sz val="4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40"/>
      <name val="Times New Roman"/>
      <family val="1"/>
    </font>
    <font>
      <b/>
      <sz val="9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44"/>
      <name val="Times New Roman"/>
      <family val="1"/>
    </font>
    <font>
      <sz val="4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i/>
      <sz val="9"/>
      <name val="Times New Roman"/>
      <family val="1"/>
    </font>
    <font>
      <b/>
      <i/>
      <sz val="11"/>
      <name val="Arial Cyr"/>
      <family val="2"/>
    </font>
    <font>
      <b/>
      <i/>
      <sz val="10"/>
      <name val="Arial Cyr"/>
      <family val="2"/>
    </font>
    <font>
      <sz val="24"/>
      <name val="Arial Cyr"/>
      <family val="2"/>
    </font>
    <font>
      <b/>
      <sz val="24"/>
      <name val="Times New Roman"/>
      <family val="1"/>
    </font>
    <font>
      <sz val="20"/>
      <name val="Arial Cyr"/>
      <family val="2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b/>
      <i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4" fontId="0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1" fontId="0" fillId="0" borderId="0" xfId="43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65" fontId="0" fillId="0" borderId="0" xfId="43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 horizontal="center" vertical="center"/>
    </xf>
    <xf numFmtId="166" fontId="2" fillId="0" borderId="0" xfId="43" applyNumberFormat="1" applyFont="1" applyFill="1" applyBorder="1" applyAlignment="1" applyProtection="1">
      <alignment/>
      <protection/>
    </xf>
    <xf numFmtId="1" fontId="2" fillId="0" borderId="0" xfId="43" applyNumberFormat="1" applyFont="1" applyFill="1" applyBorder="1" applyAlignment="1" applyProtection="1">
      <alignment horizontal="center"/>
      <protection/>
    </xf>
    <xf numFmtId="166" fontId="3" fillId="0" borderId="0" xfId="43" applyNumberFormat="1" applyFont="1" applyFill="1" applyBorder="1" applyAlignment="1" applyProtection="1">
      <alignment/>
      <protection/>
    </xf>
    <xf numFmtId="1" fontId="3" fillId="0" borderId="0" xfId="43" applyNumberFormat="1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>
      <alignment horizontal="center"/>
    </xf>
    <xf numFmtId="165" fontId="3" fillId="0" borderId="0" xfId="43" applyNumberFormat="1" applyFont="1" applyFill="1" applyBorder="1" applyAlignment="1" applyProtection="1">
      <alignment vertical="center"/>
      <protection/>
    </xf>
    <xf numFmtId="1" fontId="3" fillId="0" borderId="0" xfId="4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42" applyNumberFormat="1" applyFont="1" applyFill="1" applyBorder="1" applyAlignment="1" applyProtection="1">
      <alignment horizontal="right" vertical="center"/>
      <protection/>
    </xf>
    <xf numFmtId="165" fontId="3" fillId="0" borderId="10" xfId="43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 textRotation="90"/>
    </xf>
    <xf numFmtId="1" fontId="7" fillId="0" borderId="12" xfId="43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165" fontId="7" fillId="0" borderId="12" xfId="43" applyNumberFormat="1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169" fontId="7" fillId="0" borderId="12" xfId="0" applyNumberFormat="1" applyFont="1" applyBorder="1" applyAlignment="1">
      <alignment horizontal="center" vertical="center"/>
    </xf>
    <xf numFmtId="1" fontId="7" fillId="0" borderId="15" xfId="43" applyNumberFormat="1" applyFont="1" applyFill="1" applyBorder="1" applyAlignment="1" applyProtection="1">
      <alignment horizontal="center" vertical="center" wrapText="1"/>
      <protection/>
    </xf>
    <xf numFmtId="165" fontId="7" fillId="0" borderId="15" xfId="43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69" fontId="7" fillId="0" borderId="17" xfId="0" applyNumberFormat="1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left" vertical="center"/>
    </xf>
    <xf numFmtId="1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left" vertical="center" wrapText="1"/>
    </xf>
    <xf numFmtId="0" fontId="8" fillId="33" borderId="13" xfId="0" applyNumberFormat="1" applyFont="1" applyFill="1" applyBorder="1" applyAlignment="1">
      <alignment horizontal="left" vertical="center"/>
    </xf>
    <xf numFmtId="0" fontId="8" fillId="33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4" borderId="0" xfId="0" applyNumberFormat="1" applyFill="1" applyAlignment="1">
      <alignment vertical="center"/>
    </xf>
    <xf numFmtId="0" fontId="9" fillId="0" borderId="15" xfId="0" applyNumberFormat="1" applyFont="1" applyFill="1" applyBorder="1" applyAlignment="1">
      <alignment horizontal="left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9" fillId="0" borderId="18" xfId="0" applyNumberFormat="1" applyFont="1" applyFill="1" applyBorder="1" applyAlignment="1">
      <alignment vertical="top" wrapText="1"/>
    </xf>
    <xf numFmtId="1" fontId="9" fillId="0" borderId="18" xfId="43" applyNumberFormat="1" applyFont="1" applyFill="1" applyBorder="1" applyAlignment="1" applyProtection="1">
      <alignment horizontal="center" vertical="top" wrapText="1"/>
      <protection/>
    </xf>
    <xf numFmtId="0" fontId="9" fillId="0" borderId="18" xfId="43" applyNumberFormat="1" applyFont="1" applyFill="1" applyBorder="1" applyAlignment="1" applyProtection="1">
      <alignment horizontal="center" vertical="center" wrapText="1"/>
      <protection/>
    </xf>
    <xf numFmtId="2" fontId="9" fillId="0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1" fillId="0" borderId="11" xfId="0" applyFont="1" applyBorder="1" applyAlignment="1">
      <alignment vertical="center" textRotation="90"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9" fillId="0" borderId="11" xfId="0" applyFont="1" applyBorder="1" applyAlignment="1">
      <alignment vertical="center" textRotation="90"/>
    </xf>
    <xf numFmtId="0" fontId="10" fillId="0" borderId="0" xfId="0" applyNumberFormat="1" applyFont="1" applyFill="1" applyAlignment="1">
      <alignment/>
    </xf>
    <xf numFmtId="0" fontId="7" fillId="0" borderId="18" xfId="0" applyNumberFormat="1" applyFont="1" applyFill="1" applyBorder="1" applyAlignment="1">
      <alignment vertical="top"/>
    </xf>
    <xf numFmtId="1" fontId="7" fillId="0" borderId="18" xfId="43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8" xfId="43" applyNumberFormat="1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/>
    </xf>
    <xf numFmtId="1" fontId="8" fillId="33" borderId="13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 textRotation="90"/>
    </xf>
    <xf numFmtId="0" fontId="13" fillId="0" borderId="18" xfId="0" applyNumberFormat="1" applyFont="1" applyFill="1" applyBorder="1" applyAlignment="1">
      <alignment vertical="top" wrapText="1"/>
    </xf>
    <xf numFmtId="1" fontId="13" fillId="0" borderId="18" xfId="43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7" fillId="0" borderId="18" xfId="0" applyNumberFormat="1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/>
    </xf>
    <xf numFmtId="17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6" fillId="0" borderId="18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vertical="top"/>
    </xf>
    <xf numFmtId="1" fontId="9" fillId="0" borderId="15" xfId="43" applyNumberFormat="1" applyFont="1" applyFill="1" applyBorder="1" applyAlignment="1" applyProtection="1">
      <alignment horizontal="center" vertical="top" wrapText="1"/>
      <protection/>
    </xf>
    <xf numFmtId="0" fontId="9" fillId="0" borderId="15" xfId="43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>
      <alignment vertical="top"/>
    </xf>
    <xf numFmtId="1" fontId="7" fillId="0" borderId="15" xfId="43" applyNumberFormat="1" applyFont="1" applyFill="1" applyBorder="1" applyAlignment="1" applyProtection="1">
      <alignment horizontal="center" vertical="top" wrapText="1"/>
      <protection/>
    </xf>
    <xf numFmtId="0" fontId="7" fillId="0" borderId="15" xfId="43" applyNumberFormat="1" applyFont="1" applyFill="1" applyBorder="1" applyAlignment="1" applyProtection="1">
      <alignment horizontal="center" vertical="center" wrapText="1"/>
      <protection/>
    </xf>
    <xf numFmtId="3" fontId="7" fillId="0" borderId="18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8" xfId="0" applyNumberFormat="1" applyFont="1" applyFill="1" applyBorder="1" applyAlignment="1">
      <alignment horizontal="left" vertical="center"/>
    </xf>
    <xf numFmtId="1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13" fillId="0" borderId="18" xfId="0" applyNumberFormat="1" applyFont="1" applyFill="1" applyBorder="1" applyAlignment="1">
      <alignment horizontal="left" vertical="center" wrapText="1"/>
    </xf>
    <xf numFmtId="1" fontId="13" fillId="0" borderId="18" xfId="43" applyNumberFormat="1" applyFont="1" applyFill="1" applyBorder="1" applyAlignment="1" applyProtection="1">
      <alignment horizontal="center" vertical="center" wrapText="1"/>
      <protection/>
    </xf>
    <xf numFmtId="49" fontId="13" fillId="0" borderId="18" xfId="43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>
      <alignment horizontal="right" vertical="center"/>
    </xf>
    <xf numFmtId="0" fontId="13" fillId="0" borderId="18" xfId="0" applyNumberFormat="1" applyFont="1" applyFill="1" applyBorder="1" applyAlignment="1">
      <alignment vertical="top"/>
    </xf>
    <xf numFmtId="0" fontId="13" fillId="0" borderId="18" xfId="43" applyNumberFormat="1" applyFont="1" applyFill="1" applyBorder="1" applyAlignment="1" applyProtection="1">
      <alignment horizontal="center" vertic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49" fontId="9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vertical="top" wrapText="1"/>
    </xf>
    <xf numFmtId="1" fontId="7" fillId="0" borderId="12" xfId="43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vertical="top" wrapText="1"/>
    </xf>
    <xf numFmtId="1" fontId="9" fillId="0" borderId="12" xfId="43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>
      <alignment horizontal="center"/>
    </xf>
    <xf numFmtId="0" fontId="9" fillId="0" borderId="12" xfId="43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center" vertical="center" wrapText="1"/>
    </xf>
    <xf numFmtId="0" fontId="7" fillId="0" borderId="12" xfId="43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vertical="center" textRotation="90"/>
    </xf>
    <xf numFmtId="0" fontId="9" fillId="0" borderId="12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 vertical="center" textRotation="90"/>
    </xf>
    <xf numFmtId="171" fontId="9" fillId="0" borderId="1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/>
    </xf>
    <xf numFmtId="0" fontId="9" fillId="0" borderId="18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/>
    </xf>
    <xf numFmtId="0" fontId="0" fillId="0" borderId="18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vertical="top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vertical="top"/>
    </xf>
    <xf numFmtId="0" fontId="9" fillId="0" borderId="18" xfId="0" applyNumberFormat="1" applyFont="1" applyFill="1" applyBorder="1" applyAlignment="1">
      <alignment vertical="center"/>
    </xf>
    <xf numFmtId="49" fontId="9" fillId="0" borderId="12" xfId="43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>
      <alignment vertical="center"/>
    </xf>
    <xf numFmtId="1" fontId="9" fillId="33" borderId="13" xfId="43" applyNumberFormat="1" applyFont="1" applyFill="1" applyBorder="1" applyAlignment="1" applyProtection="1">
      <alignment horizontal="center" vertical="top" wrapText="1"/>
      <protection/>
    </xf>
    <xf numFmtId="0" fontId="9" fillId="33" borderId="13" xfId="0" applyNumberFormat="1" applyFont="1" applyFill="1" applyBorder="1" applyAlignment="1">
      <alignment horizontal="center" vertical="center" wrapText="1"/>
    </xf>
    <xf numFmtId="49" fontId="9" fillId="33" borderId="13" xfId="43" applyNumberFormat="1" applyFont="1" applyFill="1" applyBorder="1" applyAlignment="1" applyProtection="1">
      <alignment horizontal="center" vertical="center" wrapText="1"/>
      <protection/>
    </xf>
    <xf numFmtId="2" fontId="9" fillId="33" borderId="13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/>
    </xf>
    <xf numFmtId="171" fontId="7" fillId="0" borderId="18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left"/>
    </xf>
    <xf numFmtId="2" fontId="9" fillId="0" borderId="18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vertical="center" textRotation="90"/>
    </xf>
    <xf numFmtId="0" fontId="23" fillId="0" borderId="0" xfId="0" applyNumberFormat="1" applyFont="1" applyFill="1" applyAlignment="1">
      <alignment/>
    </xf>
    <xf numFmtId="0" fontId="9" fillId="0" borderId="11" xfId="0" applyNumberFormat="1" applyFont="1" applyFill="1" applyBorder="1" applyAlignment="1">
      <alignment vertical="center" textRotation="90"/>
    </xf>
    <xf numFmtId="3" fontId="22" fillId="0" borderId="12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165" fontId="9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/>
    </xf>
    <xf numFmtId="172" fontId="9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/>
    </xf>
    <xf numFmtId="1" fontId="17" fillId="0" borderId="15" xfId="43" applyNumberFormat="1" applyFont="1" applyFill="1" applyBorder="1" applyAlignment="1" applyProtection="1">
      <alignment horizontal="center" vertical="top" wrapText="1"/>
      <protection/>
    </xf>
    <xf numFmtId="165" fontId="9" fillId="0" borderId="15" xfId="43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>
      <alignment/>
    </xf>
    <xf numFmtId="1" fontId="24" fillId="0" borderId="18" xfId="43" applyNumberFormat="1" applyFont="1" applyFill="1" applyBorder="1" applyAlignment="1" applyProtection="1">
      <alignment horizontal="center" vertical="top" wrapText="1"/>
      <protection/>
    </xf>
    <xf numFmtId="165" fontId="7" fillId="0" borderId="18" xfId="43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Fill="1" applyAlignment="1">
      <alignment/>
    </xf>
    <xf numFmtId="0" fontId="9" fillId="0" borderId="21" xfId="0" applyNumberFormat="1" applyFont="1" applyFill="1" applyBorder="1" applyAlignment="1">
      <alignment/>
    </xf>
    <xf numFmtId="165" fontId="9" fillId="0" borderId="12" xfId="43" applyNumberFormat="1" applyFont="1" applyFill="1" applyBorder="1" applyAlignment="1" applyProtection="1">
      <alignment horizontal="center" vertical="center" wrapText="1"/>
      <protection/>
    </xf>
    <xf numFmtId="1" fontId="9" fillId="0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1" fontId="9" fillId="0" borderId="18" xfId="0" applyNumberFormat="1" applyFont="1" applyFill="1" applyBorder="1" applyAlignment="1">
      <alignment horizontal="center" vertical="center" wrapText="1"/>
    </xf>
    <xf numFmtId="0" fontId="9" fillId="0" borderId="18" xfId="43" applyNumberFormat="1" applyFont="1" applyFill="1" applyBorder="1" applyAlignment="1" applyProtection="1">
      <alignment horizontal="center" vertical="center"/>
      <protection/>
    </xf>
    <xf numFmtId="172" fontId="9" fillId="0" borderId="18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1" fontId="7" fillId="0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/>
    </xf>
    <xf numFmtId="173" fontId="9" fillId="0" borderId="18" xfId="0" applyNumberFormat="1" applyFont="1" applyFill="1" applyBorder="1" applyAlignment="1">
      <alignment horizontal="center" vertical="center" wrapText="1"/>
    </xf>
    <xf numFmtId="165" fontId="22" fillId="0" borderId="18" xfId="43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" fontId="9" fillId="0" borderId="18" xfId="43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top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vertical="center"/>
    </xf>
    <xf numFmtId="0" fontId="15" fillId="34" borderId="0" xfId="0" applyNumberFormat="1" applyFont="1" applyFill="1" applyAlignment="1">
      <alignment vertical="center"/>
    </xf>
    <xf numFmtId="0" fontId="9" fillId="0" borderId="18" xfId="0" applyFont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34" borderId="0" xfId="0" applyNumberFormat="1" applyFont="1" applyFill="1" applyAlignment="1">
      <alignment vertical="center"/>
    </xf>
    <xf numFmtId="3" fontId="9" fillId="36" borderId="18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vertical="top" wrapText="1"/>
    </xf>
    <xf numFmtId="1" fontId="9" fillId="0" borderId="21" xfId="43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>
      <alignment horizontal="center" vertical="center" wrapText="1"/>
    </xf>
    <xf numFmtId="165" fontId="9" fillId="0" borderId="21" xfId="43" applyNumberFormat="1" applyFont="1" applyFill="1" applyBorder="1" applyAlignment="1" applyProtection="1">
      <alignment horizontal="center" vertical="center" wrapText="1"/>
      <protection/>
    </xf>
    <xf numFmtId="2" fontId="9" fillId="0" borderId="21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right" vertical="center"/>
    </xf>
    <xf numFmtId="49" fontId="9" fillId="0" borderId="15" xfId="43" applyNumberFormat="1" applyFont="1" applyFill="1" applyBorder="1" applyAlignment="1" applyProtection="1">
      <alignment horizontal="center" vertical="center" wrapText="1"/>
      <protection/>
    </xf>
    <xf numFmtId="2" fontId="9" fillId="0" borderId="18" xfId="0" applyNumberFormat="1" applyFont="1" applyBorder="1" applyAlignment="1">
      <alignment horizontal="center" vertical="center" wrapText="1"/>
    </xf>
    <xf numFmtId="0" fontId="0" fillId="0" borderId="15" xfId="0" applyNumberForma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0" fontId="9" fillId="0" borderId="1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" fontId="9" fillId="0" borderId="18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/>
    </xf>
    <xf numFmtId="49" fontId="9" fillId="0" borderId="21" xfId="43" applyNumberFormat="1" applyFont="1" applyFill="1" applyBorder="1" applyAlignment="1" applyProtection="1">
      <alignment horizontal="center" vertical="center" wrapText="1"/>
      <protection/>
    </xf>
    <xf numFmtId="3" fontId="0" fillId="0" borderId="21" xfId="0" applyNumberFormat="1" applyFill="1" applyBorder="1" applyAlignment="1">
      <alignment/>
    </xf>
    <xf numFmtId="3" fontId="9" fillId="0" borderId="18" xfId="0" applyNumberFormat="1" applyFont="1" applyFill="1" applyBorder="1" applyAlignment="1">
      <alignment horizontal="center"/>
    </xf>
    <xf numFmtId="0" fontId="9" fillId="0" borderId="18" xfId="59" applyNumberFormat="1" applyFont="1" applyFill="1" applyBorder="1" applyAlignment="1" applyProtection="1">
      <alignment horizontal="center" vertical="center" wrapText="1"/>
      <protection/>
    </xf>
    <xf numFmtId="1" fontId="22" fillId="0" borderId="18" xfId="43" applyNumberFormat="1" applyFont="1" applyFill="1" applyBorder="1" applyAlignment="1" applyProtection="1">
      <alignment horizontal="center" vertical="top" wrapText="1"/>
      <protection/>
    </xf>
    <xf numFmtId="3" fontId="22" fillId="0" borderId="18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 vertical="center" textRotation="90"/>
    </xf>
    <xf numFmtId="0" fontId="9" fillId="0" borderId="18" xfId="0" applyNumberFormat="1" applyFont="1" applyFill="1" applyBorder="1" applyAlignment="1">
      <alignment horizontal="left" vertical="top" wrapText="1"/>
    </xf>
    <xf numFmtId="49" fontId="9" fillId="0" borderId="18" xfId="59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>
      <alignment horizontal="right"/>
    </xf>
    <xf numFmtId="0" fontId="7" fillId="0" borderId="18" xfId="59" applyNumberFormat="1" applyFont="1" applyFill="1" applyBorder="1" applyAlignment="1" applyProtection="1">
      <alignment horizontal="center" vertical="center" wrapText="1"/>
      <protection/>
    </xf>
    <xf numFmtId="3" fontId="7" fillId="0" borderId="18" xfId="0" applyNumberFormat="1" applyFont="1" applyFill="1" applyBorder="1" applyAlignment="1">
      <alignment horizontal="center"/>
    </xf>
    <xf numFmtId="49" fontId="9" fillId="0" borderId="18" xfId="43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/>
    </xf>
    <xf numFmtId="0" fontId="9" fillId="0" borderId="18" xfId="0" applyFont="1" applyFill="1" applyBorder="1" applyAlignment="1">
      <alignment horizontal="left" vertical="center" wrapText="1"/>
    </xf>
    <xf numFmtId="1" fontId="9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3" fontId="15" fillId="0" borderId="0" xfId="0" applyNumberFormat="1" applyFont="1" applyFill="1" applyAlignment="1">
      <alignment vertical="center"/>
    </xf>
    <xf numFmtId="0" fontId="9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left" vertical="center" wrapText="1"/>
    </xf>
    <xf numFmtId="1" fontId="9" fillId="37" borderId="18" xfId="43" applyNumberFormat="1" applyFont="1" applyFill="1" applyBorder="1" applyAlignment="1" applyProtection="1">
      <alignment horizontal="center" vertical="center" wrapText="1"/>
      <protection/>
    </xf>
    <xf numFmtId="0" fontId="9" fillId="37" borderId="18" xfId="0" applyFont="1" applyFill="1" applyBorder="1" applyAlignment="1">
      <alignment horizontal="center" vertical="center" wrapText="1"/>
    </xf>
    <xf numFmtId="49" fontId="9" fillId="37" borderId="18" xfId="43" applyNumberFormat="1" applyFont="1" applyFill="1" applyBorder="1" applyAlignment="1" applyProtection="1">
      <alignment horizontal="center" vertical="center" wrapText="1"/>
      <protection/>
    </xf>
    <xf numFmtId="2" fontId="9" fillId="37" borderId="18" xfId="0" applyNumberFormat="1" applyFont="1" applyFill="1" applyBorder="1" applyAlignment="1">
      <alignment horizontal="center" vertical="center" wrapText="1"/>
    </xf>
    <xf numFmtId="3" fontId="9" fillId="37" borderId="18" xfId="0" applyNumberFormat="1" applyFont="1" applyFill="1" applyBorder="1" applyAlignment="1">
      <alignment horizontal="center" vertical="center" wrapText="1"/>
    </xf>
    <xf numFmtId="3" fontId="9" fillId="37" borderId="15" xfId="0" applyNumberFormat="1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" fontId="9" fillId="0" borderId="12" xfId="43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172" fontId="9" fillId="0" borderId="12" xfId="43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vertical="center" textRotation="90"/>
    </xf>
    <xf numFmtId="0" fontId="11" fillId="0" borderId="11" xfId="0" applyNumberFormat="1" applyFont="1" applyFill="1" applyBorder="1" applyAlignment="1">
      <alignment vertical="center" textRotation="90"/>
    </xf>
    <xf numFmtId="3" fontId="0" fillId="0" borderId="0" xfId="0" applyNumberFormat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12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vertical="center" textRotation="90"/>
    </xf>
    <xf numFmtId="0" fontId="25" fillId="0" borderId="0" xfId="0" applyNumberFormat="1" applyFont="1" applyFill="1" applyAlignment="1">
      <alignment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 textRotation="90"/>
    </xf>
    <xf numFmtId="0" fontId="9" fillId="0" borderId="0" xfId="0" applyNumberFormat="1" applyFont="1" applyFill="1" applyBorder="1" applyAlignment="1">
      <alignment vertical="top" wrapText="1"/>
    </xf>
    <xf numFmtId="1" fontId="9" fillId="0" borderId="0" xfId="43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>
      <alignment horizontal="center" vertical="center"/>
    </xf>
    <xf numFmtId="165" fontId="9" fillId="0" borderId="0" xfId="43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38" borderId="15" xfId="0" applyNumberFormat="1" applyFont="1" applyFill="1" applyBorder="1" applyAlignment="1">
      <alignment horizontal="center" vertical="center" wrapText="1"/>
    </xf>
    <xf numFmtId="171" fontId="9" fillId="0" borderId="15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/>
    </xf>
    <xf numFmtId="49" fontId="7" fillId="0" borderId="15" xfId="43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9" fontId="9" fillId="0" borderId="18" xfId="43" applyNumberFormat="1" applyFont="1" applyFill="1" applyBorder="1" applyAlignment="1" applyProtection="1">
      <alignment horizontal="left" vertical="center" wrapText="1"/>
      <protection/>
    </xf>
    <xf numFmtId="49" fontId="9" fillId="0" borderId="12" xfId="43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0" fontId="8" fillId="33" borderId="16" xfId="0" applyNumberFormat="1" applyFont="1" applyFill="1" applyBorder="1" applyAlignment="1">
      <alignment horizontal="left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7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0" fontId="27" fillId="0" borderId="0" xfId="0" applyFont="1" applyAlignment="1">
      <alignment horizontal="center" vertical="center" textRotation="90"/>
    </xf>
    <xf numFmtId="0" fontId="28" fillId="0" borderId="0" xfId="0" applyFont="1" applyAlignment="1">
      <alignment/>
    </xf>
    <xf numFmtId="1" fontId="28" fillId="0" borderId="0" xfId="0" applyNumberFormat="1" applyFont="1" applyAlignment="1">
      <alignment horizont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0" fillId="0" borderId="0" xfId="0" applyAlignment="1">
      <alignment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30" fillId="0" borderId="0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167" fontId="4" fillId="0" borderId="0" xfId="43" applyNumberFormat="1" applyFont="1" applyFill="1" applyBorder="1" applyAlignment="1" applyProtection="1">
      <alignment horizontal="right"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9" fontId="7" fillId="0" borderId="1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625" defaultRowHeight="12.75" customHeight="1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577"/>
  <sheetViews>
    <sheetView tabSelected="1" zoomScalePageLayoutView="0" workbookViewId="0" topLeftCell="A1">
      <pane xSplit="2" ySplit="7" topLeftCell="C481" activePane="bottomRight" state="frozen"/>
      <selection pane="topLeft" activeCell="A1" sqref="A1"/>
      <selection pane="topRight" activeCell="C1" sqref="C1"/>
      <selection pane="bottomLeft" activeCell="A36" sqref="A36"/>
      <selection pane="bottomRight" activeCell="M564" sqref="M564"/>
    </sheetView>
  </sheetViews>
  <sheetFormatPr defaultColWidth="9.00390625" defaultRowHeight="14.25" customHeight="1"/>
  <cols>
    <col min="1" max="1" width="0" style="1" hidden="1" customWidth="1"/>
    <col min="2" max="2" width="16.75390625" style="2" customWidth="1"/>
    <col min="3" max="3" width="6.25390625" style="3" customWidth="1"/>
    <col min="4" max="4" width="6.875" style="4" customWidth="1"/>
    <col min="5" max="5" width="8.125" style="5" customWidth="1"/>
    <col min="6" max="6" width="8.00390625" style="6" customWidth="1"/>
    <col min="7" max="7" width="9.625" style="6" customWidth="1"/>
    <col min="8" max="10" width="9.75390625" style="4" customWidth="1"/>
    <col min="11" max="11" width="10.75390625" style="0" customWidth="1"/>
    <col min="12" max="12" width="0" style="0" hidden="1" customWidth="1"/>
  </cols>
  <sheetData>
    <row r="1" spans="2:11" ht="27.75" customHeight="1">
      <c r="B1" s="7"/>
      <c r="C1" s="8" t="s">
        <v>0</v>
      </c>
      <c r="D1" s="7"/>
      <c r="E1" s="7"/>
      <c r="F1" s="7"/>
      <c r="G1" s="7"/>
      <c r="H1" s="9"/>
      <c r="I1" s="9"/>
      <c r="J1" s="301">
        <v>45308</v>
      </c>
      <c r="K1" s="301"/>
    </row>
    <row r="2" spans="2:11" ht="18" customHeight="1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1"/>
    </row>
    <row r="3" spans="2:11" ht="18" customHeight="1">
      <c r="B3" s="12"/>
      <c r="C3" s="13"/>
      <c r="D3" s="12"/>
      <c r="E3"/>
      <c r="F3" s="12"/>
      <c r="G3" s="12"/>
      <c r="H3" s="14"/>
      <c r="I3" s="14"/>
      <c r="J3" s="14"/>
      <c r="K3" s="11"/>
    </row>
    <row r="4" spans="2:11" ht="18" customHeight="1">
      <c r="B4" s="12"/>
      <c r="C4" s="13"/>
      <c r="D4" s="12"/>
      <c r="E4" s="12"/>
      <c r="F4" s="12"/>
      <c r="G4" s="12"/>
      <c r="H4" s="12"/>
      <c r="I4" s="12"/>
      <c r="J4" s="12"/>
      <c r="K4" s="15" t="s">
        <v>2</v>
      </c>
    </row>
    <row r="5" spans="2:11" ht="18" customHeight="1">
      <c r="B5" s="16"/>
      <c r="C5" s="13"/>
      <c r="D5" s="16"/>
      <c r="E5" s="12"/>
      <c r="F5" s="12"/>
      <c r="G5" s="12"/>
      <c r="H5" s="12"/>
      <c r="I5" s="16"/>
      <c r="J5" s="16"/>
      <c r="K5" s="12"/>
    </row>
    <row r="6" spans="1:11" ht="12.75" customHeight="1">
      <c r="A6" s="17" t="s">
        <v>3</v>
      </c>
      <c r="B6" s="302" t="s">
        <v>4</v>
      </c>
      <c r="C6" s="18" t="s">
        <v>5</v>
      </c>
      <c r="D6" s="303" t="s">
        <v>6</v>
      </c>
      <c r="E6" s="20" t="s">
        <v>7</v>
      </c>
      <c r="F6" s="21" t="s">
        <v>8</v>
      </c>
      <c r="G6" s="22" t="s">
        <v>9</v>
      </c>
      <c r="H6" s="23" t="s">
        <v>10</v>
      </c>
      <c r="I6" s="304" t="s">
        <v>11</v>
      </c>
      <c r="J6" s="304"/>
      <c r="K6" s="305" t="s">
        <v>12</v>
      </c>
    </row>
    <row r="7" spans="1:11" ht="13.5" customHeight="1">
      <c r="A7" s="17"/>
      <c r="B7" s="302"/>
      <c r="C7" s="24" t="s">
        <v>13</v>
      </c>
      <c r="D7" s="303"/>
      <c r="E7" s="25" t="s">
        <v>14</v>
      </c>
      <c r="F7" s="26" t="s">
        <v>15</v>
      </c>
      <c r="G7" s="27" t="s">
        <v>15</v>
      </c>
      <c r="H7" s="28" t="s">
        <v>13</v>
      </c>
      <c r="I7" s="29" t="s">
        <v>16</v>
      </c>
      <c r="J7" s="30" t="s">
        <v>17</v>
      </c>
      <c r="K7" s="305"/>
    </row>
    <row r="8" spans="1:251" s="37" customFormat="1" ht="21" customHeight="1">
      <c r="A8" s="17"/>
      <c r="B8" s="31" t="s">
        <v>18</v>
      </c>
      <c r="C8" s="32"/>
      <c r="D8" s="33"/>
      <c r="E8" s="33"/>
      <c r="F8" s="33"/>
      <c r="G8" s="33"/>
      <c r="H8" s="34"/>
      <c r="I8" s="33"/>
      <c r="J8" s="33"/>
      <c r="K8" s="35"/>
      <c r="L8" s="36"/>
      <c r="M8" s="37">
        <v>267</v>
      </c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</row>
    <row r="9" spans="1:13" s="48" customFormat="1" ht="13.5" customHeight="1">
      <c r="A9" s="17"/>
      <c r="B9" s="39" t="s">
        <v>19</v>
      </c>
      <c r="C9" s="40">
        <v>20</v>
      </c>
      <c r="D9" s="41"/>
      <c r="E9" s="42">
        <v>6</v>
      </c>
      <c r="F9" s="42">
        <v>1.28</v>
      </c>
      <c r="G9" s="43">
        <f aca="true" t="shared" si="0" ref="G9:G18">E9*F9</f>
        <v>7.68</v>
      </c>
      <c r="H9" s="40">
        <f aca="true" t="shared" si="1" ref="H9:H18">I9/(1000/G9)</f>
        <v>552.8832</v>
      </c>
      <c r="I9" s="44">
        <v>71990</v>
      </c>
      <c r="J9" s="45"/>
      <c r="K9" s="46"/>
      <c r="L9" s="47"/>
      <c r="M9" s="48">
        <v>267</v>
      </c>
    </row>
    <row r="10" spans="1:13" s="54" customFormat="1" ht="13.5" customHeight="1">
      <c r="A10" s="17"/>
      <c r="B10" s="49" t="s">
        <v>20</v>
      </c>
      <c r="C10" s="50">
        <v>26</v>
      </c>
      <c r="D10" s="41"/>
      <c r="E10" s="51">
        <v>6</v>
      </c>
      <c r="F10" s="52">
        <v>1.66</v>
      </c>
      <c r="G10" s="43">
        <f t="shared" si="0"/>
        <v>9.959999999999999</v>
      </c>
      <c r="H10" s="40">
        <f t="shared" si="1"/>
        <v>687.1403999999999</v>
      </c>
      <c r="I10" s="44">
        <v>68990</v>
      </c>
      <c r="J10" s="45"/>
      <c r="K10" s="46"/>
      <c r="L10" s="53"/>
      <c r="M10" s="54">
        <v>267</v>
      </c>
    </row>
    <row r="11" spans="1:12" s="57" customFormat="1" ht="13.5" customHeight="1" hidden="1">
      <c r="A11" s="55"/>
      <c r="B11" s="49" t="s">
        <v>21</v>
      </c>
      <c r="C11" s="50">
        <v>30</v>
      </c>
      <c r="D11" s="41"/>
      <c r="E11" s="51">
        <v>6</v>
      </c>
      <c r="F11" s="52">
        <v>2.39</v>
      </c>
      <c r="G11" s="43">
        <f t="shared" si="0"/>
        <v>14.34</v>
      </c>
      <c r="H11" s="45">
        <f t="shared" si="1"/>
        <v>1039.5066</v>
      </c>
      <c r="I11" s="44">
        <v>72490</v>
      </c>
      <c r="J11" s="45"/>
      <c r="K11" s="46"/>
      <c r="L11" s="56"/>
    </row>
    <row r="12" spans="1:13" s="57" customFormat="1" ht="13.5" customHeight="1">
      <c r="A12" s="55"/>
      <c r="B12" s="49" t="s">
        <v>21</v>
      </c>
      <c r="C12" s="50">
        <v>30</v>
      </c>
      <c r="D12" s="41"/>
      <c r="E12" s="51">
        <v>12</v>
      </c>
      <c r="F12" s="52">
        <v>2.39</v>
      </c>
      <c r="G12" s="43">
        <f t="shared" si="0"/>
        <v>28.68</v>
      </c>
      <c r="H12" s="45">
        <f t="shared" si="1"/>
        <v>1906.9332</v>
      </c>
      <c r="I12" s="44">
        <v>66490</v>
      </c>
      <c r="J12" s="45"/>
      <c r="K12" s="46"/>
      <c r="L12" s="56"/>
      <c r="M12" s="57">
        <v>267</v>
      </c>
    </row>
    <row r="13" spans="1:12" s="54" customFormat="1" ht="13.5" customHeight="1" hidden="1">
      <c r="A13" s="17"/>
      <c r="B13" s="49" t="s">
        <v>22</v>
      </c>
      <c r="C13" s="50">
        <v>35</v>
      </c>
      <c r="D13" s="41"/>
      <c r="E13" s="51">
        <v>6</v>
      </c>
      <c r="F13" s="52">
        <v>3.09</v>
      </c>
      <c r="G13" s="43">
        <f t="shared" si="0"/>
        <v>18.54</v>
      </c>
      <c r="H13" s="45">
        <f t="shared" si="1"/>
        <v>1269.8046</v>
      </c>
      <c r="I13" s="44">
        <v>68490</v>
      </c>
      <c r="J13" s="45"/>
      <c r="K13" s="46"/>
      <c r="L13" s="56"/>
    </row>
    <row r="14" spans="1:13" s="54" customFormat="1" ht="13.5" customHeight="1">
      <c r="A14" s="17"/>
      <c r="B14" s="49" t="s">
        <v>22</v>
      </c>
      <c r="C14" s="50">
        <v>35</v>
      </c>
      <c r="D14" s="41"/>
      <c r="E14" s="51">
        <v>12</v>
      </c>
      <c r="F14" s="52">
        <v>3.09</v>
      </c>
      <c r="G14" s="43">
        <f t="shared" si="0"/>
        <v>37.08</v>
      </c>
      <c r="H14" s="45">
        <f t="shared" si="1"/>
        <v>2465.4491999999996</v>
      </c>
      <c r="I14" s="44">
        <v>66490</v>
      </c>
      <c r="J14" s="45"/>
      <c r="K14" s="46"/>
      <c r="L14" s="53"/>
      <c r="M14" s="54">
        <v>267</v>
      </c>
    </row>
    <row r="15" spans="1:13" s="57" customFormat="1" ht="13.5" customHeight="1">
      <c r="A15" s="55"/>
      <c r="B15" s="49" t="s">
        <v>23</v>
      </c>
      <c r="C15" s="50">
        <v>40</v>
      </c>
      <c r="D15" s="41"/>
      <c r="E15" s="51">
        <v>6</v>
      </c>
      <c r="F15" s="52">
        <v>3.84</v>
      </c>
      <c r="G15" s="43">
        <f t="shared" si="0"/>
        <v>23.04</v>
      </c>
      <c r="H15" s="45">
        <f t="shared" si="1"/>
        <v>1543.4496</v>
      </c>
      <c r="I15" s="44">
        <v>66990</v>
      </c>
      <c r="J15" s="45"/>
      <c r="K15" s="46"/>
      <c r="L15" s="56"/>
      <c r="M15" s="57">
        <v>267</v>
      </c>
    </row>
    <row r="16" spans="1:13" s="57" customFormat="1" ht="13.5" customHeight="1">
      <c r="A16" s="55"/>
      <c r="B16" s="49" t="s">
        <v>23</v>
      </c>
      <c r="C16" s="50">
        <v>40</v>
      </c>
      <c r="D16" s="41"/>
      <c r="E16" s="51">
        <v>12</v>
      </c>
      <c r="F16" s="52">
        <v>3.84</v>
      </c>
      <c r="G16" s="43">
        <f t="shared" si="0"/>
        <v>46.08</v>
      </c>
      <c r="H16" s="45">
        <f t="shared" si="1"/>
        <v>3086.8992</v>
      </c>
      <c r="I16" s="44">
        <v>66990</v>
      </c>
      <c r="J16" s="45"/>
      <c r="K16" s="46"/>
      <c r="L16" s="56"/>
      <c r="M16" s="57">
        <v>267</v>
      </c>
    </row>
    <row r="17" spans="1:11" s="59" customFormat="1" ht="13.5" customHeight="1" hidden="1">
      <c r="A17" s="58"/>
      <c r="B17" s="49" t="s">
        <v>24</v>
      </c>
      <c r="C17" s="50">
        <v>40</v>
      </c>
      <c r="D17" s="41"/>
      <c r="E17" s="51">
        <v>6</v>
      </c>
      <c r="F17" s="52">
        <v>4.88</v>
      </c>
      <c r="G17" s="43">
        <f t="shared" si="0"/>
        <v>29.28</v>
      </c>
      <c r="H17" s="45">
        <f t="shared" si="1"/>
        <v>1317.3072000000002</v>
      </c>
      <c r="I17" s="44">
        <v>44990</v>
      </c>
      <c r="J17" s="45"/>
      <c r="K17" s="46"/>
    </row>
    <row r="18" spans="1:11" s="68" customFormat="1" ht="13.5" customHeight="1" hidden="1">
      <c r="A18" s="17"/>
      <c r="B18" s="60" t="s">
        <v>25</v>
      </c>
      <c r="C18" s="61">
        <v>25</v>
      </c>
      <c r="D18" s="62"/>
      <c r="E18" s="63">
        <v>10.5</v>
      </c>
      <c r="F18" s="64">
        <v>4.88</v>
      </c>
      <c r="G18" s="65">
        <f t="shared" si="0"/>
        <v>51.24</v>
      </c>
      <c r="H18" s="66">
        <f t="shared" si="1"/>
        <v>1473.15</v>
      </c>
      <c r="I18" s="44">
        <v>28750</v>
      </c>
      <c r="J18" s="66"/>
      <c r="K18" s="67" t="s">
        <v>26</v>
      </c>
    </row>
    <row r="19" spans="1:251" s="37" customFormat="1" ht="21" customHeight="1">
      <c r="A19" s="17"/>
      <c r="B19" s="31" t="s">
        <v>27</v>
      </c>
      <c r="C19" s="32"/>
      <c r="D19" s="33"/>
      <c r="E19" s="33"/>
      <c r="F19" s="33"/>
      <c r="G19" s="33"/>
      <c r="H19" s="34"/>
      <c r="I19" s="33"/>
      <c r="J19" s="33"/>
      <c r="K19" s="35"/>
      <c r="M19" s="37">
        <v>268</v>
      </c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</row>
    <row r="20" spans="1:11" s="48" customFormat="1" ht="13.5" customHeight="1" hidden="1">
      <c r="A20" s="17"/>
      <c r="B20" s="39" t="s">
        <v>19</v>
      </c>
      <c r="C20" s="40">
        <v>30</v>
      </c>
      <c r="D20" s="41" t="s">
        <v>28</v>
      </c>
      <c r="E20" s="42">
        <v>6</v>
      </c>
      <c r="F20" s="43">
        <f>1.28*1.033</f>
        <v>1.3222399999999999</v>
      </c>
      <c r="G20" s="43">
        <f aca="true" t="shared" si="2" ref="G20:G30">E20*F20</f>
        <v>7.933439999999999</v>
      </c>
      <c r="H20" s="45">
        <f aca="true" t="shared" si="3" ref="H20:H30">I20/(1000/G20)</f>
        <v>815.1609599999999</v>
      </c>
      <c r="I20" s="44">
        <v>102750</v>
      </c>
      <c r="J20" s="45"/>
      <c r="K20" s="69"/>
    </row>
    <row r="21" spans="1:13" s="48" customFormat="1" ht="13.5" customHeight="1">
      <c r="A21" s="17"/>
      <c r="B21" s="39" t="s">
        <v>29</v>
      </c>
      <c r="C21" s="40">
        <v>30</v>
      </c>
      <c r="D21" s="41" t="s">
        <v>28</v>
      </c>
      <c r="E21" s="42">
        <v>7.8</v>
      </c>
      <c r="F21" s="43">
        <f>1.16*1.033</f>
        <v>1.1982799999999998</v>
      </c>
      <c r="G21" s="43">
        <f t="shared" si="2"/>
        <v>9.346583999999998</v>
      </c>
      <c r="H21" s="45">
        <f t="shared" si="3"/>
        <v>1028.0307741599997</v>
      </c>
      <c r="I21" s="44">
        <v>109990</v>
      </c>
      <c r="J21" s="45"/>
      <c r="K21" s="69"/>
      <c r="M21" s="48">
        <v>268</v>
      </c>
    </row>
    <row r="22" spans="1:13" s="57" customFormat="1" ht="13.5" customHeight="1">
      <c r="A22" s="55"/>
      <c r="B22" s="49" t="s">
        <v>20</v>
      </c>
      <c r="C22" s="50">
        <v>40</v>
      </c>
      <c r="D22" s="41" t="s">
        <v>28</v>
      </c>
      <c r="E22" s="42">
        <v>6</v>
      </c>
      <c r="F22" s="52">
        <f>1.66*1.03</f>
        <v>1.7098000000000002</v>
      </c>
      <c r="G22" s="43">
        <f t="shared" si="2"/>
        <v>10.2588</v>
      </c>
      <c r="H22" s="45">
        <f t="shared" si="3"/>
        <v>1128.365412</v>
      </c>
      <c r="I22" s="44">
        <v>109990</v>
      </c>
      <c r="J22" s="45"/>
      <c r="K22" s="46"/>
      <c r="M22" s="57">
        <v>268</v>
      </c>
    </row>
    <row r="23" spans="1:11" s="57" customFormat="1" ht="13.5" customHeight="1" hidden="1">
      <c r="A23" s="55"/>
      <c r="B23" s="49" t="s">
        <v>20</v>
      </c>
      <c r="C23" s="50">
        <v>40</v>
      </c>
      <c r="D23" s="41" t="s">
        <v>28</v>
      </c>
      <c r="E23" s="42">
        <v>7.8</v>
      </c>
      <c r="F23" s="52">
        <f>1.66*1.03</f>
        <v>1.7098000000000002</v>
      </c>
      <c r="G23" s="43">
        <f t="shared" si="2"/>
        <v>13.336440000000001</v>
      </c>
      <c r="H23" s="45">
        <f t="shared" si="3"/>
        <v>1706.9309556</v>
      </c>
      <c r="I23" s="44">
        <v>127990</v>
      </c>
      <c r="J23" s="45"/>
      <c r="K23" s="46"/>
    </row>
    <row r="24" spans="1:11" s="57" customFormat="1" ht="13.5" customHeight="1" hidden="1">
      <c r="A24" s="55"/>
      <c r="B24" s="49" t="s">
        <v>30</v>
      </c>
      <c r="C24" s="50">
        <v>46</v>
      </c>
      <c r="D24" s="41" t="s">
        <v>28</v>
      </c>
      <c r="E24" s="42">
        <v>6</v>
      </c>
      <c r="F24" s="52">
        <f>2.12*1.031</f>
        <v>2.18572</v>
      </c>
      <c r="G24" s="43">
        <f t="shared" si="2"/>
        <v>13.11432</v>
      </c>
      <c r="H24" s="45">
        <f t="shared" si="3"/>
        <v>1295.0390999999997</v>
      </c>
      <c r="I24" s="44">
        <v>98750</v>
      </c>
      <c r="J24" s="45"/>
      <c r="K24" s="46"/>
    </row>
    <row r="25" spans="1:13" s="57" customFormat="1" ht="13.5" customHeight="1">
      <c r="A25" s="55"/>
      <c r="B25" s="49" t="s">
        <v>21</v>
      </c>
      <c r="C25" s="50">
        <v>46</v>
      </c>
      <c r="D25" s="41" t="s">
        <v>28</v>
      </c>
      <c r="E25" s="42">
        <v>6</v>
      </c>
      <c r="F25" s="52">
        <f>2.39*1.031</f>
        <v>2.46409</v>
      </c>
      <c r="G25" s="43">
        <f t="shared" si="2"/>
        <v>14.78454</v>
      </c>
      <c r="H25" s="45">
        <f t="shared" si="3"/>
        <v>1611.3670146000002</v>
      </c>
      <c r="I25" s="44">
        <v>108990</v>
      </c>
      <c r="J25" s="45"/>
      <c r="K25" s="46"/>
      <c r="M25" s="57">
        <v>268</v>
      </c>
    </row>
    <row r="26" spans="1:11" s="57" customFormat="1" ht="13.5" customHeight="1" hidden="1">
      <c r="A26" s="55"/>
      <c r="B26" s="49" t="s">
        <v>22</v>
      </c>
      <c r="C26" s="50">
        <v>54</v>
      </c>
      <c r="D26" s="41" t="s">
        <v>28</v>
      </c>
      <c r="E26" s="42">
        <v>6</v>
      </c>
      <c r="F26" s="52">
        <f>3.09*1.0312</f>
        <v>3.1864079999999997</v>
      </c>
      <c r="G26" s="43">
        <f t="shared" si="2"/>
        <v>19.118447999999997</v>
      </c>
      <c r="H26" s="45">
        <f t="shared" si="3"/>
        <v>1887.9467399999996</v>
      </c>
      <c r="I26" s="44">
        <v>98750</v>
      </c>
      <c r="J26" s="45"/>
      <c r="K26" s="46"/>
    </row>
    <row r="27" spans="1:13" s="57" customFormat="1" ht="13.5" customHeight="1">
      <c r="A27" s="55"/>
      <c r="B27" s="49" t="s">
        <v>22</v>
      </c>
      <c r="C27" s="50">
        <v>54</v>
      </c>
      <c r="D27" s="41" t="s">
        <v>28</v>
      </c>
      <c r="E27" s="42">
        <v>7.8</v>
      </c>
      <c r="F27" s="52">
        <f>3.09*1.03</f>
        <v>3.1827</v>
      </c>
      <c r="G27" s="43">
        <f t="shared" si="2"/>
        <v>24.82506</v>
      </c>
      <c r="H27" s="45">
        <f t="shared" si="3"/>
        <v>2680.8582294</v>
      </c>
      <c r="I27" s="44">
        <v>107990</v>
      </c>
      <c r="J27" s="45"/>
      <c r="K27" s="46"/>
      <c r="M27" s="57">
        <v>268</v>
      </c>
    </row>
    <row r="28" spans="1:13" s="59" customFormat="1" ht="13.5" customHeight="1">
      <c r="A28" s="17"/>
      <c r="B28" s="49" t="s">
        <v>23</v>
      </c>
      <c r="C28" s="50">
        <v>60</v>
      </c>
      <c r="D28" s="41" t="s">
        <v>28</v>
      </c>
      <c r="E28" s="42">
        <v>6</v>
      </c>
      <c r="F28" s="52">
        <f>3.84*1.03</f>
        <v>3.9552</v>
      </c>
      <c r="G28" s="43">
        <f t="shared" si="2"/>
        <v>23.7312</v>
      </c>
      <c r="H28" s="45">
        <f t="shared" si="3"/>
        <v>2539.001088</v>
      </c>
      <c r="I28" s="44">
        <v>106990</v>
      </c>
      <c r="J28" s="45"/>
      <c r="K28" s="46"/>
      <c r="M28" s="59">
        <v>268</v>
      </c>
    </row>
    <row r="29" spans="1:11" s="57" customFormat="1" ht="13.5" customHeight="1" hidden="1">
      <c r="A29" s="55"/>
      <c r="B29" s="49" t="s">
        <v>23</v>
      </c>
      <c r="C29" s="50">
        <v>60</v>
      </c>
      <c r="D29" s="41" t="s">
        <v>28</v>
      </c>
      <c r="E29" s="42">
        <v>7.8</v>
      </c>
      <c r="F29" s="52">
        <f>3.84*1.03</f>
        <v>3.9552</v>
      </c>
      <c r="G29" s="43">
        <f t="shared" si="2"/>
        <v>30.850559999999998</v>
      </c>
      <c r="H29" s="45">
        <f t="shared" si="3"/>
        <v>3393.2530944</v>
      </c>
      <c r="I29" s="44">
        <v>109990</v>
      </c>
      <c r="J29" s="45"/>
      <c r="K29" s="46"/>
    </row>
    <row r="30" spans="1:11" s="59" customFormat="1" ht="13.5" customHeight="1" hidden="1">
      <c r="A30" s="55"/>
      <c r="B30" s="49" t="s">
        <v>24</v>
      </c>
      <c r="C30" s="50">
        <v>33</v>
      </c>
      <c r="D30" s="41" t="s">
        <v>28</v>
      </c>
      <c r="E30" s="42">
        <v>7.8</v>
      </c>
      <c r="F30" s="52">
        <f>4.88*1.03</f>
        <v>5.0264</v>
      </c>
      <c r="G30" s="43">
        <f t="shared" si="2"/>
        <v>39.20592</v>
      </c>
      <c r="H30" s="45">
        <f t="shared" si="3"/>
        <v>2136.3305808</v>
      </c>
      <c r="I30" s="44">
        <v>54490</v>
      </c>
      <c r="J30" s="45"/>
      <c r="K30" s="70"/>
    </row>
    <row r="31" spans="1:251" s="37" customFormat="1" ht="21" customHeight="1">
      <c r="A31" s="17"/>
      <c r="B31" s="31" t="s">
        <v>31</v>
      </c>
      <c r="C31" s="71"/>
      <c r="D31" s="34"/>
      <c r="E31" s="34"/>
      <c r="F31" s="34"/>
      <c r="G31" s="34"/>
      <c r="H31" s="34"/>
      <c r="I31" s="34"/>
      <c r="J31" s="34"/>
      <c r="K31" s="72"/>
      <c r="M31" s="37">
        <v>269</v>
      </c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</row>
    <row r="32" spans="1:12" s="84" customFormat="1" ht="18" customHeight="1" hidden="1">
      <c r="A32" s="73"/>
      <c r="B32" s="74" t="s">
        <v>32</v>
      </c>
      <c r="C32" s="75"/>
      <c r="D32" s="76" t="s">
        <v>28</v>
      </c>
      <c r="E32" s="77">
        <v>3</v>
      </c>
      <c r="F32" s="78"/>
      <c r="G32" s="79">
        <v>9</v>
      </c>
      <c r="H32" s="80">
        <f aca="true" t="shared" si="4" ref="H32:H38">I32/(1000/G32)</f>
        <v>800.01</v>
      </c>
      <c r="I32" s="81">
        <v>88890</v>
      </c>
      <c r="J32" s="80"/>
      <c r="K32" s="82"/>
      <c r="L32" s="83"/>
    </row>
    <row r="33" spans="1:12" s="57" customFormat="1" ht="13.5" customHeight="1" hidden="1">
      <c r="A33" s="55"/>
      <c r="B33" s="49" t="s">
        <v>33</v>
      </c>
      <c r="C33" s="50">
        <v>80</v>
      </c>
      <c r="D33" s="41" t="s">
        <v>28</v>
      </c>
      <c r="E33" s="42">
        <v>6</v>
      </c>
      <c r="F33" s="52">
        <f>4*1.063</f>
        <v>4.252</v>
      </c>
      <c r="G33" s="43">
        <f aca="true" t="shared" si="5" ref="G33:G38">E33*F33</f>
        <v>25.512</v>
      </c>
      <c r="H33" s="45">
        <f t="shared" si="4"/>
        <v>2359.60488</v>
      </c>
      <c r="I33" s="44">
        <v>92490</v>
      </c>
      <c r="J33" s="45"/>
      <c r="K33" s="46"/>
      <c r="L33" s="56"/>
    </row>
    <row r="34" spans="1:13" s="57" customFormat="1" ht="13.5" customHeight="1">
      <c r="A34" s="55"/>
      <c r="B34" s="49" t="s">
        <v>33</v>
      </c>
      <c r="C34" s="50">
        <v>80</v>
      </c>
      <c r="D34" s="41" t="s">
        <v>28</v>
      </c>
      <c r="E34" s="42">
        <v>6</v>
      </c>
      <c r="F34" s="52">
        <f>4*1.03</f>
        <v>4.12</v>
      </c>
      <c r="G34" s="43">
        <f t="shared" si="5"/>
        <v>24.72</v>
      </c>
      <c r="H34" s="45">
        <f t="shared" si="4"/>
        <v>2620.0728</v>
      </c>
      <c r="I34" s="44">
        <v>105990</v>
      </c>
      <c r="J34" s="45"/>
      <c r="K34" s="46"/>
      <c r="L34" s="56"/>
      <c r="M34" s="57">
        <v>269</v>
      </c>
    </row>
    <row r="35" spans="1:13" s="57" customFormat="1" ht="13.5" customHeight="1">
      <c r="A35" s="55"/>
      <c r="B35" s="49" t="s">
        <v>33</v>
      </c>
      <c r="C35" s="50">
        <v>80</v>
      </c>
      <c r="D35" s="41" t="s">
        <v>34</v>
      </c>
      <c r="E35" s="42">
        <v>7.8</v>
      </c>
      <c r="F35" s="52">
        <f>4*1.03</f>
        <v>4.12</v>
      </c>
      <c r="G35" s="43">
        <f t="shared" si="5"/>
        <v>32.136</v>
      </c>
      <c r="H35" s="45">
        <f t="shared" si="4"/>
        <v>3406.0946400000003</v>
      </c>
      <c r="I35" s="44">
        <v>105990</v>
      </c>
      <c r="J35" s="45"/>
      <c r="K35" s="46"/>
      <c r="M35" s="57">
        <v>269</v>
      </c>
    </row>
    <row r="36" spans="1:13" s="57" customFormat="1" ht="13.5" customHeight="1">
      <c r="A36" s="55"/>
      <c r="B36" s="49" t="s">
        <v>35</v>
      </c>
      <c r="C36" s="50">
        <v>100</v>
      </c>
      <c r="D36" s="41" t="s">
        <v>28</v>
      </c>
      <c r="E36" s="42">
        <v>12</v>
      </c>
      <c r="F36" s="52">
        <f>5.4*1.04</f>
        <v>5.6160000000000005</v>
      </c>
      <c r="G36" s="43">
        <f t="shared" si="5"/>
        <v>67.39200000000001</v>
      </c>
      <c r="H36" s="45">
        <f t="shared" si="4"/>
        <v>7142.87808</v>
      </c>
      <c r="I36" s="44">
        <v>105990</v>
      </c>
      <c r="J36" s="45"/>
      <c r="K36" s="46"/>
      <c r="L36" s="56"/>
      <c r="M36" s="57">
        <v>269</v>
      </c>
    </row>
    <row r="37" spans="1:12" s="57" customFormat="1" ht="13.5" customHeight="1" hidden="1">
      <c r="A37" s="55"/>
      <c r="B37" s="49" t="s">
        <v>35</v>
      </c>
      <c r="C37" s="50">
        <v>100</v>
      </c>
      <c r="D37" s="41" t="s">
        <v>28</v>
      </c>
      <c r="E37" s="42">
        <v>7.8</v>
      </c>
      <c r="F37" s="52">
        <f>5.4*1.03</f>
        <v>5.562</v>
      </c>
      <c r="G37" s="43">
        <f t="shared" si="5"/>
        <v>43.3836</v>
      </c>
      <c r="H37" s="45">
        <f t="shared" si="4"/>
        <v>4771.762164000001</v>
      </c>
      <c r="I37" s="44">
        <v>109990</v>
      </c>
      <c r="J37" s="45"/>
      <c r="K37" s="46"/>
      <c r="L37" s="56"/>
    </row>
    <row r="38" spans="1:11" s="57" customFormat="1" ht="13.5" customHeight="1" hidden="1">
      <c r="A38" s="55"/>
      <c r="B38" s="49" t="s">
        <v>36</v>
      </c>
      <c r="C38" s="50">
        <v>100</v>
      </c>
      <c r="D38" s="41" t="s">
        <v>28</v>
      </c>
      <c r="E38" s="42">
        <v>6</v>
      </c>
      <c r="F38" s="52">
        <f>6.26*1.03</f>
        <v>6.4478</v>
      </c>
      <c r="G38" s="43">
        <f t="shared" si="5"/>
        <v>38.6868</v>
      </c>
      <c r="H38" s="45">
        <f t="shared" si="4"/>
        <v>3578.142132</v>
      </c>
      <c r="I38" s="44">
        <v>92490</v>
      </c>
      <c r="J38" s="45"/>
      <c r="K38" s="46"/>
    </row>
    <row r="39" spans="1:12" s="89" customFormat="1" ht="13.5" customHeight="1" hidden="1">
      <c r="A39" s="17"/>
      <c r="B39" s="85" t="s">
        <v>37</v>
      </c>
      <c r="C39" s="61">
        <v>60</v>
      </c>
      <c r="D39" s="62" t="s">
        <v>28</v>
      </c>
      <c r="E39" s="86" t="s">
        <v>38</v>
      </c>
      <c r="F39" s="64" t="s">
        <v>39</v>
      </c>
      <c r="G39" s="65"/>
      <c r="H39" s="66"/>
      <c r="I39" s="44">
        <v>92490</v>
      </c>
      <c r="J39" s="66"/>
      <c r="K39" s="87"/>
      <c r="L39" s="88"/>
    </row>
    <row r="40" spans="1:12" s="57" customFormat="1" ht="14.25" customHeight="1" hidden="1">
      <c r="A40" s="17"/>
      <c r="B40" s="49" t="s">
        <v>40</v>
      </c>
      <c r="C40" s="50">
        <v>120</v>
      </c>
      <c r="D40" s="41" t="s">
        <v>28</v>
      </c>
      <c r="E40" s="42">
        <v>6</v>
      </c>
      <c r="F40" s="52">
        <f>7.38*1.0319</f>
        <v>7.615422000000001</v>
      </c>
      <c r="G40" s="43">
        <f aca="true" t="shared" si="6" ref="G40:G47">E40*F40</f>
        <v>45.692532</v>
      </c>
      <c r="H40" s="45">
        <f aca="true" t="shared" si="7" ref="H40:H47">I40/(1000/G40)</f>
        <v>4363.17988068</v>
      </c>
      <c r="I40" s="44">
        <v>95490</v>
      </c>
      <c r="J40" s="45"/>
      <c r="K40" s="46"/>
      <c r="L40" s="56"/>
    </row>
    <row r="41" spans="1:13" s="57" customFormat="1" ht="14.25" customHeight="1">
      <c r="A41" s="55"/>
      <c r="B41" s="49" t="s">
        <v>40</v>
      </c>
      <c r="C41" s="50">
        <v>120</v>
      </c>
      <c r="D41" s="41" t="s">
        <v>34</v>
      </c>
      <c r="E41" s="42">
        <v>6</v>
      </c>
      <c r="F41" s="52">
        <f>7.38*1.03</f>
        <v>7.6014</v>
      </c>
      <c r="G41" s="43">
        <f t="shared" si="6"/>
        <v>45.6084</v>
      </c>
      <c r="H41" s="45">
        <f t="shared" si="7"/>
        <v>4674.404916</v>
      </c>
      <c r="I41" s="44">
        <v>102490</v>
      </c>
      <c r="J41" s="45"/>
      <c r="K41" s="46"/>
      <c r="M41" s="57">
        <v>269</v>
      </c>
    </row>
    <row r="42" spans="1:11" s="57" customFormat="1" ht="14.25" customHeight="1" hidden="1">
      <c r="A42" s="55"/>
      <c r="B42" s="49" t="s">
        <v>40</v>
      </c>
      <c r="C42" s="50">
        <v>70</v>
      </c>
      <c r="D42" s="41" t="s">
        <v>34</v>
      </c>
      <c r="E42" s="42">
        <v>12</v>
      </c>
      <c r="F42" s="52">
        <f>7.38*1.03</f>
        <v>7.6014</v>
      </c>
      <c r="G42" s="43">
        <f t="shared" si="6"/>
        <v>91.2168</v>
      </c>
      <c r="H42" s="45">
        <f t="shared" si="7"/>
        <v>8892.725832000002</v>
      </c>
      <c r="I42" s="44">
        <v>97490</v>
      </c>
      <c r="J42" s="45"/>
      <c r="K42" s="46"/>
    </row>
    <row r="43" spans="1:11" s="57" customFormat="1" ht="13.5" customHeight="1" hidden="1">
      <c r="A43" s="55"/>
      <c r="B43" s="49" t="s">
        <v>41</v>
      </c>
      <c r="C43" s="50">
        <v>80</v>
      </c>
      <c r="D43" s="41" t="s">
        <v>28</v>
      </c>
      <c r="E43" s="42">
        <v>6</v>
      </c>
      <c r="F43" s="52">
        <f>9.02*1.03</f>
        <v>9.2906</v>
      </c>
      <c r="G43" s="43">
        <f t="shared" si="6"/>
        <v>55.7436</v>
      </c>
      <c r="H43" s="45">
        <f t="shared" si="7"/>
        <v>6577.187364</v>
      </c>
      <c r="I43" s="44">
        <v>117990</v>
      </c>
      <c r="J43" s="45"/>
      <c r="K43" s="46"/>
    </row>
    <row r="44" spans="1:11" s="57" customFormat="1" ht="13.5" customHeight="1" hidden="1">
      <c r="A44" s="55"/>
      <c r="B44" s="49" t="s">
        <v>41</v>
      </c>
      <c r="C44" s="50">
        <v>80</v>
      </c>
      <c r="D44" s="41" t="s">
        <v>28</v>
      </c>
      <c r="E44" s="42">
        <v>7.8</v>
      </c>
      <c r="F44" s="52">
        <f>9.02*1.03</f>
        <v>9.2906</v>
      </c>
      <c r="G44" s="43">
        <f t="shared" si="6"/>
        <v>72.46668</v>
      </c>
      <c r="H44" s="45">
        <f t="shared" si="7"/>
        <v>4709.6095331999995</v>
      </c>
      <c r="I44" s="44">
        <v>64990</v>
      </c>
      <c r="J44" s="45"/>
      <c r="K44" s="46"/>
    </row>
    <row r="45" spans="1:11" s="57" customFormat="1" ht="13.5" customHeight="1" hidden="1">
      <c r="A45" s="55"/>
      <c r="B45" s="49" t="s">
        <v>42</v>
      </c>
      <c r="C45" s="50">
        <v>80</v>
      </c>
      <c r="D45" s="41" t="s">
        <v>28</v>
      </c>
      <c r="E45" s="42">
        <v>7.8</v>
      </c>
      <c r="F45" s="52">
        <f>10.26*1.03</f>
        <v>10.5678</v>
      </c>
      <c r="G45" s="43">
        <f t="shared" si="6"/>
        <v>82.42884</v>
      </c>
      <c r="H45" s="45">
        <f t="shared" si="7"/>
        <v>5604.3368316</v>
      </c>
      <c r="I45" s="44">
        <v>67990</v>
      </c>
      <c r="J45" s="45"/>
      <c r="K45" s="46"/>
    </row>
    <row r="46" spans="1:11" s="57" customFormat="1" ht="13.5" customHeight="1" hidden="1">
      <c r="A46" s="17"/>
      <c r="B46" s="49" t="s">
        <v>43</v>
      </c>
      <c r="C46" s="50">
        <v>85</v>
      </c>
      <c r="D46" s="41" t="s">
        <v>28</v>
      </c>
      <c r="E46" s="42">
        <v>7.8</v>
      </c>
      <c r="F46" s="52">
        <f>14.26*1.031</f>
        <v>14.70206</v>
      </c>
      <c r="G46" s="43">
        <f t="shared" si="6"/>
        <v>114.67606799999999</v>
      </c>
      <c r="H46" s="45">
        <f t="shared" si="7"/>
        <v>6306.03697932</v>
      </c>
      <c r="I46" s="44">
        <v>54990</v>
      </c>
      <c r="J46" s="45"/>
      <c r="K46" s="90"/>
    </row>
    <row r="47" spans="1:11" s="57" customFormat="1" ht="13.5" customHeight="1" hidden="1">
      <c r="A47" s="17"/>
      <c r="B47" s="49" t="s">
        <v>44</v>
      </c>
      <c r="C47" s="50">
        <v>99</v>
      </c>
      <c r="D47" s="41" t="s">
        <v>28</v>
      </c>
      <c r="E47" s="42">
        <v>7.8</v>
      </c>
      <c r="F47" s="52">
        <f>17.15*1.03</f>
        <v>17.6645</v>
      </c>
      <c r="G47" s="43">
        <f t="shared" si="6"/>
        <v>137.7831</v>
      </c>
      <c r="H47" s="45">
        <f t="shared" si="7"/>
        <v>6887.777169</v>
      </c>
      <c r="I47" s="44">
        <v>49990</v>
      </c>
      <c r="J47" s="45"/>
      <c r="K47" s="90"/>
    </row>
    <row r="48" spans="1:251" s="37" customFormat="1" ht="21" customHeight="1">
      <c r="A48" s="17"/>
      <c r="B48" s="31" t="s">
        <v>45</v>
      </c>
      <c r="C48" s="71"/>
      <c r="D48" s="34"/>
      <c r="E48" s="34"/>
      <c r="F48" s="34"/>
      <c r="G48" s="34"/>
      <c r="H48" s="34"/>
      <c r="I48" s="34"/>
      <c r="J48" s="34"/>
      <c r="K48" s="72"/>
      <c r="M48" s="37">
        <v>270</v>
      </c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</row>
    <row r="49" spans="1:11" s="57" customFormat="1" ht="13.5" customHeight="1" hidden="1">
      <c r="A49" s="55"/>
      <c r="B49" s="91" t="s">
        <v>46</v>
      </c>
      <c r="C49" s="92"/>
      <c r="D49" s="41" t="s">
        <v>34</v>
      </c>
      <c r="E49" s="93">
        <v>6</v>
      </c>
      <c r="F49" s="43"/>
      <c r="G49" s="43">
        <v>8.06</v>
      </c>
      <c r="H49" s="45">
        <f>I49/(1000/G49)</f>
        <v>298.1394</v>
      </c>
      <c r="I49" s="44">
        <v>36990</v>
      </c>
      <c r="J49" s="45"/>
      <c r="K49" s="46" t="s">
        <v>47</v>
      </c>
    </row>
    <row r="50" spans="1:11" s="57" customFormat="1" ht="13.5" customHeight="1" hidden="1">
      <c r="A50" s="55"/>
      <c r="B50" s="91" t="s">
        <v>48</v>
      </c>
      <c r="C50" s="92"/>
      <c r="D50" s="41" t="s">
        <v>34</v>
      </c>
      <c r="E50" s="93">
        <v>6</v>
      </c>
      <c r="F50" s="43"/>
      <c r="G50" s="43">
        <v>9.47</v>
      </c>
      <c r="H50" s="45">
        <f>I50/(1000/G50)</f>
        <v>340.8253</v>
      </c>
      <c r="I50" s="44">
        <v>35990</v>
      </c>
      <c r="J50" s="45"/>
      <c r="K50" s="46" t="s">
        <v>47</v>
      </c>
    </row>
    <row r="51" spans="1:11" s="57" customFormat="1" ht="13.5" customHeight="1" hidden="1">
      <c r="A51" s="55"/>
      <c r="B51" s="91" t="s">
        <v>49</v>
      </c>
      <c r="C51" s="92"/>
      <c r="D51" s="41" t="s">
        <v>34</v>
      </c>
      <c r="E51" s="93">
        <v>6</v>
      </c>
      <c r="F51" s="43"/>
      <c r="G51" s="43">
        <v>13</v>
      </c>
      <c r="H51" s="45">
        <v>450</v>
      </c>
      <c r="I51" s="44"/>
      <c r="J51" s="45"/>
      <c r="K51" s="46"/>
    </row>
    <row r="52" spans="1:11" s="89" customFormat="1" ht="13.5" customHeight="1" hidden="1">
      <c r="A52" s="17"/>
      <c r="B52" s="94" t="s">
        <v>50</v>
      </c>
      <c r="C52" s="95">
        <v>25</v>
      </c>
      <c r="D52" s="62" t="s">
        <v>34</v>
      </c>
      <c r="E52" s="96">
        <v>5.9</v>
      </c>
      <c r="F52" s="65">
        <v>4.62</v>
      </c>
      <c r="G52" s="65">
        <f aca="true" t="shared" si="8" ref="G52:G65">E52*F52</f>
        <v>27.258000000000003</v>
      </c>
      <c r="H52" s="66">
        <f aca="true" t="shared" si="9" ref="H52:H65">I52/(1000/G52)</f>
        <v>681.1774200000001</v>
      </c>
      <c r="I52" s="97">
        <v>24990</v>
      </c>
      <c r="J52" s="66"/>
      <c r="K52" s="67" t="s">
        <v>26</v>
      </c>
    </row>
    <row r="53" spans="1:11" s="89" customFormat="1" ht="13.5" customHeight="1" hidden="1">
      <c r="A53" s="17"/>
      <c r="B53" s="94" t="s">
        <v>50</v>
      </c>
      <c r="C53" s="95">
        <v>80</v>
      </c>
      <c r="D53" s="62" t="s">
        <v>34</v>
      </c>
      <c r="E53" s="96">
        <v>10.5</v>
      </c>
      <c r="F53" s="65">
        <v>4.62</v>
      </c>
      <c r="G53" s="65">
        <f t="shared" si="8"/>
        <v>48.51</v>
      </c>
      <c r="H53" s="66">
        <f t="shared" si="9"/>
        <v>3395.2149</v>
      </c>
      <c r="I53" s="97">
        <v>69990</v>
      </c>
      <c r="J53" s="66"/>
      <c r="K53" s="67" t="s">
        <v>26</v>
      </c>
    </row>
    <row r="54" spans="1:12" s="57" customFormat="1" ht="13.5" customHeight="1" hidden="1">
      <c r="A54" s="55"/>
      <c r="B54" s="98" t="s">
        <v>51</v>
      </c>
      <c r="C54" s="92">
        <v>40</v>
      </c>
      <c r="D54" s="41" t="s">
        <v>34</v>
      </c>
      <c r="E54" s="93">
        <v>6</v>
      </c>
      <c r="F54" s="43">
        <v>4.62</v>
      </c>
      <c r="G54" s="43">
        <f t="shared" si="8"/>
        <v>27.72</v>
      </c>
      <c r="H54" s="45">
        <f t="shared" si="9"/>
        <v>3048.9228000000003</v>
      </c>
      <c r="I54" s="44">
        <v>109990</v>
      </c>
      <c r="J54" s="45"/>
      <c r="K54" s="46" t="s">
        <v>52</v>
      </c>
      <c r="L54" s="56"/>
    </row>
    <row r="55" spans="1:12" s="57" customFormat="1" ht="13.5" customHeight="1" hidden="1">
      <c r="A55" s="55"/>
      <c r="B55" s="98" t="s">
        <v>51</v>
      </c>
      <c r="C55" s="92">
        <v>40</v>
      </c>
      <c r="D55" s="41" t="s">
        <v>34</v>
      </c>
      <c r="E55" s="93">
        <v>10</v>
      </c>
      <c r="F55" s="43">
        <v>4.62</v>
      </c>
      <c r="G55" s="43">
        <f t="shared" si="8"/>
        <v>46.2</v>
      </c>
      <c r="H55" s="45">
        <f t="shared" si="9"/>
        <v>3926.5380000000005</v>
      </c>
      <c r="I55" s="44">
        <v>84990</v>
      </c>
      <c r="J55" s="45"/>
      <c r="K55" s="46"/>
      <c r="L55" s="56"/>
    </row>
    <row r="56" spans="1:12" s="57" customFormat="1" ht="13.5" customHeight="1" hidden="1">
      <c r="A56" s="55"/>
      <c r="B56" s="98" t="s">
        <v>51</v>
      </c>
      <c r="C56" s="92">
        <v>40</v>
      </c>
      <c r="D56" s="41" t="s">
        <v>34</v>
      </c>
      <c r="E56" s="93">
        <v>10.5</v>
      </c>
      <c r="F56" s="43">
        <v>4.62</v>
      </c>
      <c r="G56" s="43">
        <f t="shared" si="8"/>
        <v>48.51</v>
      </c>
      <c r="H56" s="45">
        <f t="shared" si="9"/>
        <v>4365.4149</v>
      </c>
      <c r="I56" s="44">
        <v>89990</v>
      </c>
      <c r="J56" s="45"/>
      <c r="K56" s="46"/>
      <c r="L56" s="56"/>
    </row>
    <row r="57" spans="1:13" s="57" customFormat="1" ht="13.5" customHeight="1">
      <c r="A57" s="55"/>
      <c r="B57" s="98" t="s">
        <v>51</v>
      </c>
      <c r="C57" s="92">
        <v>52</v>
      </c>
      <c r="D57" s="41" t="s">
        <v>34</v>
      </c>
      <c r="E57" s="93">
        <v>12</v>
      </c>
      <c r="F57" s="43">
        <v>4.62</v>
      </c>
      <c r="G57" s="43">
        <f t="shared" si="8"/>
        <v>55.44</v>
      </c>
      <c r="H57" s="45">
        <f t="shared" si="9"/>
        <v>3686.2056000000002</v>
      </c>
      <c r="I57" s="44">
        <v>66490</v>
      </c>
      <c r="J57" s="45"/>
      <c r="K57" s="46"/>
      <c r="L57" s="56"/>
      <c r="M57" s="57">
        <v>270</v>
      </c>
    </row>
    <row r="58" spans="1:11" s="103" customFormat="1" ht="13.5" customHeight="1" hidden="1">
      <c r="A58" s="99">
        <v>10</v>
      </c>
      <c r="B58" s="100" t="s">
        <v>53</v>
      </c>
      <c r="C58" s="101">
        <v>25</v>
      </c>
      <c r="D58" s="62" t="s">
        <v>34</v>
      </c>
      <c r="E58" s="63">
        <v>10.5</v>
      </c>
      <c r="F58" s="64">
        <v>4.22</v>
      </c>
      <c r="G58" s="65">
        <f t="shared" si="8"/>
        <v>44.309999999999995</v>
      </c>
      <c r="H58" s="66">
        <f t="shared" si="9"/>
        <v>2946.1719</v>
      </c>
      <c r="I58" s="44">
        <v>66490</v>
      </c>
      <c r="J58" s="66"/>
      <c r="K58" s="102"/>
    </row>
    <row r="59" spans="1:11" s="103" customFormat="1" ht="15.75" customHeight="1" hidden="1">
      <c r="A59" s="99">
        <v>10</v>
      </c>
      <c r="B59" s="100" t="s">
        <v>54</v>
      </c>
      <c r="C59" s="101">
        <v>25</v>
      </c>
      <c r="D59" s="62" t="s">
        <v>34</v>
      </c>
      <c r="E59" s="63">
        <v>10.5</v>
      </c>
      <c r="F59" s="64">
        <v>4.88</v>
      </c>
      <c r="G59" s="65">
        <f t="shared" si="8"/>
        <v>51.24</v>
      </c>
      <c r="H59" s="66">
        <f t="shared" si="9"/>
        <v>3406.9476000000004</v>
      </c>
      <c r="I59" s="44">
        <v>66490</v>
      </c>
      <c r="J59" s="66"/>
      <c r="K59" s="102"/>
    </row>
    <row r="60" spans="1:11" s="103" customFormat="1" ht="13.5" customHeight="1" hidden="1">
      <c r="A60" s="99">
        <v>10</v>
      </c>
      <c r="B60" s="104" t="s">
        <v>55</v>
      </c>
      <c r="C60" s="101">
        <v>50</v>
      </c>
      <c r="D60" s="62" t="s">
        <v>34</v>
      </c>
      <c r="E60" s="63">
        <v>6</v>
      </c>
      <c r="F60" s="64">
        <v>4.53</v>
      </c>
      <c r="G60" s="65">
        <f t="shared" si="8"/>
        <v>27.18</v>
      </c>
      <c r="H60" s="66">
        <f t="shared" si="9"/>
        <v>1807.1982</v>
      </c>
      <c r="I60" s="44">
        <v>66490</v>
      </c>
      <c r="J60" s="66"/>
      <c r="K60" s="102"/>
    </row>
    <row r="61" spans="1:11" s="103" customFormat="1" ht="13.5" customHeight="1" hidden="1">
      <c r="A61" s="99">
        <v>10</v>
      </c>
      <c r="B61" s="104" t="s">
        <v>56</v>
      </c>
      <c r="C61" s="101">
        <v>65</v>
      </c>
      <c r="D61" s="62" t="s">
        <v>34</v>
      </c>
      <c r="E61" s="63">
        <v>3</v>
      </c>
      <c r="F61" s="64">
        <v>5.4</v>
      </c>
      <c r="G61" s="65">
        <f t="shared" si="8"/>
        <v>16.200000000000003</v>
      </c>
      <c r="H61" s="66">
        <f t="shared" si="9"/>
        <v>1077.1380000000001</v>
      </c>
      <c r="I61" s="44">
        <v>66490</v>
      </c>
      <c r="J61" s="66"/>
      <c r="K61" s="67"/>
    </row>
    <row r="62" spans="1:11" s="103" customFormat="1" ht="13.5" customHeight="1" hidden="1">
      <c r="A62" s="99">
        <v>10</v>
      </c>
      <c r="B62" s="104" t="s">
        <v>57</v>
      </c>
      <c r="C62" s="101">
        <v>50</v>
      </c>
      <c r="D62" s="62" t="s">
        <v>34</v>
      </c>
      <c r="E62" s="63">
        <v>4.5</v>
      </c>
      <c r="F62" s="64">
        <v>7.1</v>
      </c>
      <c r="G62" s="65">
        <f t="shared" si="8"/>
        <v>31.95</v>
      </c>
      <c r="H62" s="66">
        <f t="shared" si="9"/>
        <v>2124.3555</v>
      </c>
      <c r="I62" s="44">
        <v>66490</v>
      </c>
      <c r="J62" s="66"/>
      <c r="K62" s="102"/>
    </row>
    <row r="63" spans="1:11" s="103" customFormat="1" ht="15.75" customHeight="1" hidden="1">
      <c r="A63" s="105"/>
      <c r="B63" s="106" t="s">
        <v>58</v>
      </c>
      <c r="C63" s="107">
        <v>29</v>
      </c>
      <c r="D63" s="76"/>
      <c r="E63" s="108" t="s">
        <v>59</v>
      </c>
      <c r="F63" s="78">
        <v>9.6</v>
      </c>
      <c r="G63" s="79">
        <f t="shared" si="8"/>
        <v>100.8</v>
      </c>
      <c r="H63" s="80">
        <f t="shared" si="9"/>
        <v>6702.192</v>
      </c>
      <c r="I63" s="44">
        <v>66490</v>
      </c>
      <c r="J63" s="80">
        <f>I63-240</f>
        <v>66250</v>
      </c>
      <c r="K63" s="109"/>
    </row>
    <row r="64" spans="1:12" s="57" customFormat="1" ht="13.5" customHeight="1" hidden="1">
      <c r="A64" s="55">
        <v>10</v>
      </c>
      <c r="B64" s="49" t="s">
        <v>36</v>
      </c>
      <c r="C64" s="50">
        <v>50</v>
      </c>
      <c r="D64" s="41" t="s">
        <v>34</v>
      </c>
      <c r="E64" s="51">
        <v>10.5</v>
      </c>
      <c r="F64" s="52">
        <v>6.26</v>
      </c>
      <c r="G64" s="43">
        <f t="shared" si="8"/>
        <v>65.73</v>
      </c>
      <c r="H64" s="45">
        <f t="shared" si="9"/>
        <v>4370.3877</v>
      </c>
      <c r="I64" s="44">
        <v>66490</v>
      </c>
      <c r="J64" s="45"/>
      <c r="K64" s="46"/>
      <c r="L64" s="56"/>
    </row>
    <row r="65" spans="1:13" s="57" customFormat="1" ht="13.5" customHeight="1">
      <c r="A65" s="55">
        <v>10</v>
      </c>
      <c r="B65" s="49" t="s">
        <v>36</v>
      </c>
      <c r="C65" s="50">
        <v>65</v>
      </c>
      <c r="D65" s="41" t="s">
        <v>34</v>
      </c>
      <c r="E65" s="51">
        <v>12</v>
      </c>
      <c r="F65" s="52">
        <v>6.26</v>
      </c>
      <c r="G65" s="43">
        <f t="shared" si="8"/>
        <v>75.12</v>
      </c>
      <c r="H65" s="45">
        <f t="shared" si="9"/>
        <v>4994.728800000001</v>
      </c>
      <c r="I65" s="44">
        <v>66490</v>
      </c>
      <c r="J65" s="45"/>
      <c r="K65" s="46"/>
      <c r="L65" s="56"/>
      <c r="M65" s="57">
        <v>270</v>
      </c>
    </row>
    <row r="66" spans="1:12" s="84" customFormat="1" ht="15.75" customHeight="1" hidden="1">
      <c r="A66" s="73">
        <v>10</v>
      </c>
      <c r="B66" s="110" t="s">
        <v>60</v>
      </c>
      <c r="C66" s="75">
        <v>29</v>
      </c>
      <c r="D66" s="76" t="s">
        <v>34</v>
      </c>
      <c r="E66" s="111" t="s">
        <v>38</v>
      </c>
      <c r="F66" s="78">
        <v>7.1</v>
      </c>
      <c r="G66" s="79"/>
      <c r="H66" s="80"/>
      <c r="I66" s="44">
        <v>66490</v>
      </c>
      <c r="J66" s="45"/>
      <c r="K66" s="82"/>
      <c r="L66" s="56">
        <v>68000</v>
      </c>
    </row>
    <row r="67" spans="1:12" s="68" customFormat="1" ht="13.5" customHeight="1" hidden="1">
      <c r="A67" s="17"/>
      <c r="B67" s="60" t="s">
        <v>61</v>
      </c>
      <c r="C67" s="61">
        <v>33</v>
      </c>
      <c r="D67" s="62"/>
      <c r="E67" s="112" t="s">
        <v>62</v>
      </c>
      <c r="F67" s="64">
        <v>7.38</v>
      </c>
      <c r="G67" s="65">
        <f aca="true" t="shared" si="10" ref="G67:G88">E67*F67</f>
        <v>44.28</v>
      </c>
      <c r="H67" s="66">
        <f aca="true" t="shared" si="11" ref="H67:H88">I67/(1000/G67)</f>
        <v>2944.1772</v>
      </c>
      <c r="I67" s="44">
        <v>66490</v>
      </c>
      <c r="J67" s="45"/>
      <c r="K67" s="67"/>
      <c r="L67" s="56">
        <v>68000</v>
      </c>
    </row>
    <row r="68" spans="1:12" s="68" customFormat="1" ht="13.5" customHeight="1" hidden="1">
      <c r="A68" s="17"/>
      <c r="B68" s="60" t="s">
        <v>61</v>
      </c>
      <c r="C68" s="61">
        <v>33</v>
      </c>
      <c r="D68" s="62"/>
      <c r="E68" s="112" t="s">
        <v>59</v>
      </c>
      <c r="F68" s="64">
        <v>7.38</v>
      </c>
      <c r="G68" s="65">
        <f t="shared" si="10"/>
        <v>77.49</v>
      </c>
      <c r="H68" s="66">
        <f t="shared" si="11"/>
        <v>5152.3101</v>
      </c>
      <c r="I68" s="44">
        <v>66490</v>
      </c>
      <c r="J68" s="45"/>
      <c r="K68" s="67"/>
      <c r="L68" s="56">
        <v>68000</v>
      </c>
    </row>
    <row r="69" spans="1:12" s="57" customFormat="1" ht="13.5" customHeight="1" hidden="1">
      <c r="A69" s="55"/>
      <c r="B69" s="49" t="s">
        <v>40</v>
      </c>
      <c r="C69" s="50">
        <v>60</v>
      </c>
      <c r="D69" s="41" t="s">
        <v>34</v>
      </c>
      <c r="E69" s="51">
        <v>10.5</v>
      </c>
      <c r="F69" s="52">
        <v>7.38</v>
      </c>
      <c r="G69" s="43">
        <f t="shared" si="10"/>
        <v>77.49</v>
      </c>
      <c r="H69" s="45">
        <f t="shared" si="11"/>
        <v>5152.3101</v>
      </c>
      <c r="I69" s="44">
        <v>66490</v>
      </c>
      <c r="J69" s="45"/>
      <c r="K69" s="46"/>
      <c r="L69" s="56">
        <v>68000</v>
      </c>
    </row>
    <row r="70" spans="1:13" s="57" customFormat="1" ht="13.5" customHeight="1">
      <c r="A70" s="55"/>
      <c r="B70" s="49" t="s">
        <v>40</v>
      </c>
      <c r="C70" s="50">
        <v>80</v>
      </c>
      <c r="D70" s="41" t="s">
        <v>34</v>
      </c>
      <c r="E70" s="51">
        <v>12</v>
      </c>
      <c r="F70" s="52">
        <v>7.38</v>
      </c>
      <c r="G70" s="43">
        <f t="shared" si="10"/>
        <v>88.56</v>
      </c>
      <c r="H70" s="45">
        <f t="shared" si="11"/>
        <v>5888.3544</v>
      </c>
      <c r="I70" s="44">
        <v>66490</v>
      </c>
      <c r="J70" s="45"/>
      <c r="K70" s="46"/>
      <c r="L70" s="56"/>
      <c r="M70" s="57">
        <v>270</v>
      </c>
    </row>
    <row r="71" spans="1:12" s="68" customFormat="1" ht="13.5" customHeight="1" hidden="1">
      <c r="A71" s="17"/>
      <c r="B71" s="94" t="s">
        <v>63</v>
      </c>
      <c r="C71" s="95">
        <v>53</v>
      </c>
      <c r="D71" s="62"/>
      <c r="E71" s="112" t="s">
        <v>64</v>
      </c>
      <c r="F71" s="65">
        <v>10.26</v>
      </c>
      <c r="G71" s="65">
        <f t="shared" si="10"/>
        <v>116.964</v>
      </c>
      <c r="H71" s="66">
        <f t="shared" si="11"/>
        <v>7776.936360000001</v>
      </c>
      <c r="I71" s="44">
        <v>66490</v>
      </c>
      <c r="J71" s="45"/>
      <c r="K71" s="87"/>
      <c r="L71" s="56"/>
    </row>
    <row r="72" spans="1:12" s="57" customFormat="1" ht="13.5" customHeight="1" hidden="1">
      <c r="A72" s="55"/>
      <c r="B72" s="98" t="s">
        <v>41</v>
      </c>
      <c r="C72" s="92">
        <v>70</v>
      </c>
      <c r="D72" s="41" t="s">
        <v>34</v>
      </c>
      <c r="E72" s="51">
        <v>10.5</v>
      </c>
      <c r="F72" s="43">
        <v>9.02</v>
      </c>
      <c r="G72" s="43">
        <f t="shared" si="10"/>
        <v>94.71</v>
      </c>
      <c r="H72" s="45">
        <f t="shared" si="11"/>
        <v>6297.2679</v>
      </c>
      <c r="I72" s="44">
        <v>66490</v>
      </c>
      <c r="J72" s="45"/>
      <c r="K72" s="46"/>
      <c r="L72" s="56"/>
    </row>
    <row r="73" spans="1:12" s="57" customFormat="1" ht="14.25" customHeight="1" hidden="1">
      <c r="A73" s="55"/>
      <c r="B73" s="98" t="s">
        <v>41</v>
      </c>
      <c r="C73" s="92">
        <v>70</v>
      </c>
      <c r="D73" s="41" t="s">
        <v>34</v>
      </c>
      <c r="E73" s="51">
        <v>10.5</v>
      </c>
      <c r="F73" s="43">
        <v>9.02</v>
      </c>
      <c r="G73" s="43">
        <f t="shared" si="10"/>
        <v>94.71</v>
      </c>
      <c r="H73" s="45">
        <f t="shared" si="11"/>
        <v>6297.2679</v>
      </c>
      <c r="I73" s="44">
        <v>66490</v>
      </c>
      <c r="J73" s="45"/>
      <c r="K73" s="46"/>
      <c r="L73" s="56"/>
    </row>
    <row r="74" spans="1:13" s="57" customFormat="1" ht="14.25" customHeight="1">
      <c r="A74" s="55"/>
      <c r="B74" s="98" t="s">
        <v>41</v>
      </c>
      <c r="C74" s="92">
        <v>90</v>
      </c>
      <c r="D74" s="41" t="s">
        <v>34</v>
      </c>
      <c r="E74" s="51">
        <v>12</v>
      </c>
      <c r="F74" s="43">
        <v>9.02</v>
      </c>
      <c r="G74" s="43">
        <f t="shared" si="10"/>
        <v>108.24</v>
      </c>
      <c r="H74" s="45">
        <f t="shared" si="11"/>
        <v>7196.877600000001</v>
      </c>
      <c r="I74" s="44">
        <v>66490</v>
      </c>
      <c r="J74" s="45"/>
      <c r="K74" s="46"/>
      <c r="L74" s="56"/>
      <c r="M74" s="57">
        <v>270</v>
      </c>
    </row>
    <row r="75" spans="1:13" s="59" customFormat="1" ht="13.5" customHeight="1">
      <c r="A75" s="17"/>
      <c r="B75" s="49" t="s">
        <v>65</v>
      </c>
      <c r="C75" s="50">
        <v>110</v>
      </c>
      <c r="D75" s="41" t="s">
        <v>34</v>
      </c>
      <c r="E75" s="51">
        <v>12</v>
      </c>
      <c r="F75" s="52">
        <v>12.79</v>
      </c>
      <c r="G75" s="43">
        <f t="shared" si="10"/>
        <v>153.48</v>
      </c>
      <c r="H75" s="45">
        <f t="shared" si="11"/>
        <v>10281.6252</v>
      </c>
      <c r="I75" s="44">
        <v>66990</v>
      </c>
      <c r="J75" s="45"/>
      <c r="K75" s="46"/>
      <c r="L75" s="56"/>
      <c r="M75" s="59">
        <v>270</v>
      </c>
    </row>
    <row r="76" spans="1:12" s="59" customFormat="1" ht="13.5" customHeight="1" hidden="1">
      <c r="A76" s="17"/>
      <c r="B76" s="49" t="s">
        <v>43</v>
      </c>
      <c r="C76" s="50">
        <v>110</v>
      </c>
      <c r="D76" s="41" t="s">
        <v>66</v>
      </c>
      <c r="E76" s="51">
        <v>12</v>
      </c>
      <c r="F76" s="52">
        <v>14.26</v>
      </c>
      <c r="G76" s="43">
        <f t="shared" si="10"/>
        <v>171.12</v>
      </c>
      <c r="H76" s="45">
        <f t="shared" si="11"/>
        <v>10094.3688</v>
      </c>
      <c r="I76" s="44">
        <v>58990</v>
      </c>
      <c r="J76" s="45"/>
      <c r="K76" s="46"/>
      <c r="L76" s="56"/>
    </row>
    <row r="77" spans="1:11" s="59" customFormat="1" ht="13.5" customHeight="1" hidden="1">
      <c r="A77" s="17"/>
      <c r="B77" s="49" t="s">
        <v>67</v>
      </c>
      <c r="C77" s="50">
        <v>20</v>
      </c>
      <c r="D77" s="41" t="s">
        <v>68</v>
      </c>
      <c r="E77" s="51">
        <v>11.7</v>
      </c>
      <c r="F77" s="52">
        <v>15.78</v>
      </c>
      <c r="G77" s="43">
        <f t="shared" si="10"/>
        <v>184.62599999999998</v>
      </c>
      <c r="H77" s="45">
        <f t="shared" si="11"/>
        <v>10891.087739999999</v>
      </c>
      <c r="I77" s="44">
        <v>58990</v>
      </c>
      <c r="J77" s="45">
        <f>I77-240</f>
        <v>58750</v>
      </c>
      <c r="K77" s="46" t="s">
        <v>69</v>
      </c>
    </row>
    <row r="78" spans="1:11" s="89" customFormat="1" ht="13.5" customHeight="1" hidden="1">
      <c r="A78" s="17"/>
      <c r="B78" s="85" t="s">
        <v>70</v>
      </c>
      <c r="C78" s="61">
        <v>81</v>
      </c>
      <c r="D78" s="62" t="s">
        <v>66</v>
      </c>
      <c r="E78" s="63">
        <v>12</v>
      </c>
      <c r="F78" s="64">
        <v>13.42</v>
      </c>
      <c r="G78" s="65">
        <f t="shared" si="10"/>
        <v>161.04</v>
      </c>
      <c r="H78" s="66">
        <f t="shared" si="11"/>
        <v>9499.7496</v>
      </c>
      <c r="I78" s="44">
        <v>58990</v>
      </c>
      <c r="J78" s="66"/>
      <c r="K78" s="46" t="s">
        <v>69</v>
      </c>
    </row>
    <row r="79" spans="1:13" s="54" customFormat="1" ht="13.5" customHeight="1">
      <c r="A79" s="17"/>
      <c r="B79" s="49" t="s">
        <v>71</v>
      </c>
      <c r="C79" s="50">
        <v>130</v>
      </c>
      <c r="D79" s="41" t="s">
        <v>66</v>
      </c>
      <c r="E79" s="51">
        <v>12</v>
      </c>
      <c r="F79" s="52">
        <v>15.29</v>
      </c>
      <c r="G79" s="43">
        <f t="shared" si="10"/>
        <v>183.48</v>
      </c>
      <c r="H79" s="45">
        <f t="shared" si="11"/>
        <v>12474.805199999999</v>
      </c>
      <c r="I79" s="44">
        <v>67990</v>
      </c>
      <c r="J79" s="45"/>
      <c r="K79" s="46"/>
      <c r="L79" s="53"/>
      <c r="M79" s="54">
        <v>270</v>
      </c>
    </row>
    <row r="80" spans="1:12" s="54" customFormat="1" ht="13.5" customHeight="1" hidden="1">
      <c r="A80" s="17"/>
      <c r="B80" s="49" t="s">
        <v>44</v>
      </c>
      <c r="C80" s="50">
        <v>130</v>
      </c>
      <c r="D80" s="41" t="s">
        <v>66</v>
      </c>
      <c r="E80" s="51">
        <v>12</v>
      </c>
      <c r="F80" s="52">
        <v>17.22</v>
      </c>
      <c r="G80" s="43">
        <f t="shared" si="10"/>
        <v>206.64</v>
      </c>
      <c r="H80" s="45">
        <f t="shared" si="11"/>
        <v>13016.253599999998</v>
      </c>
      <c r="I80" s="44">
        <v>62990</v>
      </c>
      <c r="J80" s="45"/>
      <c r="K80" s="46"/>
      <c r="L80" s="53"/>
    </row>
    <row r="81" spans="1:13" s="59" customFormat="1" ht="13.5" customHeight="1">
      <c r="A81" s="55"/>
      <c r="B81" s="49" t="s">
        <v>72</v>
      </c>
      <c r="C81" s="50">
        <v>150</v>
      </c>
      <c r="D81" s="41"/>
      <c r="E81" s="113" t="s">
        <v>73</v>
      </c>
      <c r="F81" s="52">
        <v>21.21</v>
      </c>
      <c r="G81" s="43">
        <f t="shared" si="10"/>
        <v>254.52</v>
      </c>
      <c r="H81" s="45">
        <f t="shared" si="11"/>
        <v>18704.6748</v>
      </c>
      <c r="I81" s="44">
        <v>73490</v>
      </c>
      <c r="J81" s="45"/>
      <c r="K81" s="114"/>
      <c r="M81" s="59">
        <v>270</v>
      </c>
    </row>
    <row r="82" spans="1:13" s="59" customFormat="1" ht="13.5" customHeight="1">
      <c r="A82" s="55"/>
      <c r="B82" s="49" t="s">
        <v>74</v>
      </c>
      <c r="C82" s="50">
        <v>150</v>
      </c>
      <c r="D82" s="41"/>
      <c r="E82" s="113" t="s">
        <v>75</v>
      </c>
      <c r="F82" s="52">
        <v>23.8</v>
      </c>
      <c r="G82" s="43">
        <f t="shared" si="10"/>
        <v>280.84000000000003</v>
      </c>
      <c r="H82" s="45">
        <f t="shared" si="11"/>
        <v>20638.931600000004</v>
      </c>
      <c r="I82" s="44">
        <v>73490</v>
      </c>
      <c r="J82" s="45"/>
      <c r="K82" s="114"/>
      <c r="M82" s="59">
        <v>270</v>
      </c>
    </row>
    <row r="83" spans="1:11" s="59" customFormat="1" ht="13.5" customHeight="1" hidden="1">
      <c r="A83" s="55"/>
      <c r="B83" s="49" t="s">
        <v>76</v>
      </c>
      <c r="C83" s="50">
        <v>150</v>
      </c>
      <c r="D83" s="41"/>
      <c r="E83" s="113" t="s">
        <v>73</v>
      </c>
      <c r="F83" s="52">
        <v>26.39</v>
      </c>
      <c r="G83" s="43">
        <f t="shared" si="10"/>
        <v>316.68</v>
      </c>
      <c r="H83" s="45">
        <f t="shared" si="11"/>
        <v>20422.6932</v>
      </c>
      <c r="I83" s="44">
        <v>64490</v>
      </c>
      <c r="J83" s="45"/>
      <c r="K83" s="114"/>
    </row>
    <row r="84" spans="1:11" s="59" customFormat="1" ht="13.5" customHeight="1" hidden="1">
      <c r="A84" s="55"/>
      <c r="B84" s="49" t="s">
        <v>77</v>
      </c>
      <c r="C84" s="50">
        <v>120</v>
      </c>
      <c r="D84" s="41">
        <v>20</v>
      </c>
      <c r="E84" s="113" t="s">
        <v>78</v>
      </c>
      <c r="F84" s="52">
        <v>31.52</v>
      </c>
      <c r="G84" s="43">
        <f t="shared" si="10"/>
        <v>368.784</v>
      </c>
      <c r="H84" s="45">
        <f t="shared" si="11"/>
        <v>19726.256159999997</v>
      </c>
      <c r="I84" s="44">
        <v>53490</v>
      </c>
      <c r="J84" s="45"/>
      <c r="K84" s="46"/>
    </row>
    <row r="85" spans="1:11" s="59" customFormat="1" ht="13.5" customHeight="1" hidden="1">
      <c r="A85" s="55"/>
      <c r="B85" s="49" t="s">
        <v>79</v>
      </c>
      <c r="C85" s="50">
        <v>95</v>
      </c>
      <c r="D85" s="41">
        <v>20</v>
      </c>
      <c r="E85" s="113" t="s">
        <v>38</v>
      </c>
      <c r="F85" s="52">
        <v>36.6</v>
      </c>
      <c r="G85" s="43" t="e">
        <f t="shared" si="10"/>
        <v>#VALUE!</v>
      </c>
      <c r="H85" s="45" t="e">
        <f t="shared" si="11"/>
        <v>#VALUE!</v>
      </c>
      <c r="I85" s="44">
        <v>29990</v>
      </c>
      <c r="J85" s="45"/>
      <c r="K85" s="46"/>
    </row>
    <row r="86" spans="1:11" s="89" customFormat="1" ht="13.5" customHeight="1" hidden="1">
      <c r="A86" s="17"/>
      <c r="B86" s="115" t="s">
        <v>80</v>
      </c>
      <c r="C86" s="116"/>
      <c r="D86" s="62"/>
      <c r="E86" s="112" t="s">
        <v>81</v>
      </c>
      <c r="F86" s="64">
        <v>33.05</v>
      </c>
      <c r="G86" s="43">
        <f t="shared" si="10"/>
        <v>191.68999999999997</v>
      </c>
      <c r="H86" s="45">
        <f t="shared" si="11"/>
        <v>5173.7131</v>
      </c>
      <c r="I86" s="97">
        <v>26990</v>
      </c>
      <c r="J86" s="66"/>
      <c r="K86" s="117"/>
    </row>
    <row r="87" spans="1:11" s="57" customFormat="1" ht="13.5" customHeight="1" hidden="1">
      <c r="A87" s="55"/>
      <c r="B87" s="118" t="s">
        <v>82</v>
      </c>
      <c r="C87" s="119"/>
      <c r="D87" s="41">
        <v>20</v>
      </c>
      <c r="E87" s="113" t="s">
        <v>83</v>
      </c>
      <c r="F87" s="52">
        <v>39.51</v>
      </c>
      <c r="G87" s="43">
        <f t="shared" si="10"/>
        <v>458.316</v>
      </c>
      <c r="H87" s="45">
        <f t="shared" si="11"/>
        <v>21077.952839999998</v>
      </c>
      <c r="I87" s="44">
        <v>45990</v>
      </c>
      <c r="J87" s="45"/>
      <c r="K87" s="120"/>
    </row>
    <row r="88" spans="1:11" s="57" customFormat="1" ht="14.25" customHeight="1" hidden="1">
      <c r="A88" s="55"/>
      <c r="B88" s="118" t="s">
        <v>84</v>
      </c>
      <c r="C88" s="119"/>
      <c r="D88" s="41"/>
      <c r="E88" s="121">
        <v>5.77</v>
      </c>
      <c r="F88" s="52">
        <v>45.92</v>
      </c>
      <c r="G88" s="43">
        <f t="shared" si="10"/>
        <v>264.9584</v>
      </c>
      <c r="H88" s="45">
        <f t="shared" si="11"/>
        <v>7151.227215999999</v>
      </c>
      <c r="I88" s="97">
        <v>26990</v>
      </c>
      <c r="J88" s="45"/>
      <c r="K88" s="122"/>
    </row>
    <row r="89" spans="1:11" s="57" customFormat="1" ht="14.25" customHeight="1" hidden="1">
      <c r="A89" s="55"/>
      <c r="B89" s="118" t="s">
        <v>85</v>
      </c>
      <c r="C89" s="119"/>
      <c r="D89" s="41"/>
      <c r="E89" s="121" t="s">
        <v>38</v>
      </c>
      <c r="F89" s="52">
        <v>52.28</v>
      </c>
      <c r="G89" s="52"/>
      <c r="H89" s="44"/>
      <c r="I89" s="97">
        <v>26990</v>
      </c>
      <c r="J89" s="45">
        <f>I89-240</f>
        <v>26750</v>
      </c>
      <c r="K89" s="122"/>
    </row>
    <row r="90" spans="1:11" s="57" customFormat="1" ht="13.5" customHeight="1" hidden="1">
      <c r="A90" s="55"/>
      <c r="B90" s="118" t="s">
        <v>86</v>
      </c>
      <c r="C90" s="119"/>
      <c r="D90" s="41"/>
      <c r="E90" s="121">
        <v>4</v>
      </c>
      <c r="F90" s="52">
        <v>47.2</v>
      </c>
      <c r="G90" s="52">
        <f>E90*F90</f>
        <v>188.8</v>
      </c>
      <c r="H90" s="44">
        <f>I90/(1000/G90)</f>
        <v>5095.712</v>
      </c>
      <c r="I90" s="44">
        <v>26990</v>
      </c>
      <c r="J90" s="45"/>
      <c r="K90" s="114"/>
    </row>
    <row r="91" spans="1:11" s="54" customFormat="1" ht="13.5" customHeight="1" hidden="1">
      <c r="A91" s="17"/>
      <c r="B91" s="118" t="s">
        <v>86</v>
      </c>
      <c r="C91" s="119"/>
      <c r="D91" s="41"/>
      <c r="E91" s="121">
        <v>4</v>
      </c>
      <c r="F91" s="52">
        <v>47.2</v>
      </c>
      <c r="G91" s="52">
        <f>E91*F91</f>
        <v>188.8</v>
      </c>
      <c r="H91" s="44">
        <f>I91/(1000/G91)</f>
        <v>5662.112</v>
      </c>
      <c r="I91" s="123">
        <v>29990</v>
      </c>
      <c r="J91" s="45">
        <f>I91-240</f>
        <v>29750</v>
      </c>
      <c r="K91" s="114"/>
    </row>
    <row r="92" spans="1:11" s="89" customFormat="1" ht="13.5" customHeight="1" hidden="1">
      <c r="A92" s="17"/>
      <c r="B92" s="115" t="s">
        <v>87</v>
      </c>
      <c r="C92" s="116"/>
      <c r="D92" s="62"/>
      <c r="E92" s="124">
        <v>5.5</v>
      </c>
      <c r="F92" s="64">
        <v>62.54</v>
      </c>
      <c r="G92" s="65">
        <f>E92*F92</f>
        <v>343.96999999999997</v>
      </c>
      <c r="H92" s="66">
        <f>I92/(1000/G92)</f>
        <v>5156.110299999999</v>
      </c>
      <c r="I92" s="125">
        <v>14990</v>
      </c>
      <c r="J92" s="66">
        <f>I92-240</f>
        <v>14750</v>
      </c>
      <c r="K92" s="126"/>
    </row>
    <row r="93" spans="1:11" s="57" customFormat="1" ht="13.5" customHeight="1" hidden="1">
      <c r="A93" s="55"/>
      <c r="B93" s="118" t="s">
        <v>88</v>
      </c>
      <c r="C93" s="119"/>
      <c r="D93" s="127"/>
      <c r="E93" s="113" t="s">
        <v>89</v>
      </c>
      <c r="F93" s="128">
        <v>62.15</v>
      </c>
      <c r="G93" s="52">
        <f>E93*F93</f>
        <v>725.9119999999999</v>
      </c>
      <c r="H93" s="44">
        <f>I93/(1000/G93)</f>
        <v>21770.100879999998</v>
      </c>
      <c r="I93" s="123">
        <v>29990</v>
      </c>
      <c r="J93" s="45"/>
      <c r="K93" s="120"/>
    </row>
    <row r="94" spans="1:11" s="57" customFormat="1" ht="13.5" customHeight="1" hidden="1">
      <c r="A94" s="55"/>
      <c r="B94" s="118" t="s">
        <v>90</v>
      </c>
      <c r="C94" s="119"/>
      <c r="D94" s="127"/>
      <c r="E94" s="113" t="s">
        <v>38</v>
      </c>
      <c r="F94" s="128">
        <v>72.33</v>
      </c>
      <c r="G94" s="52"/>
      <c r="H94" s="123"/>
      <c r="I94" s="123">
        <v>33990</v>
      </c>
      <c r="J94" s="45">
        <f>I94-240</f>
        <v>33750</v>
      </c>
      <c r="K94" s="129"/>
    </row>
    <row r="95" spans="1:11" s="57" customFormat="1" ht="13.5" customHeight="1" hidden="1">
      <c r="A95" s="17"/>
      <c r="B95" s="118" t="s">
        <v>91</v>
      </c>
      <c r="C95" s="119"/>
      <c r="D95" s="127"/>
      <c r="E95" s="113" t="s">
        <v>92</v>
      </c>
      <c r="F95" s="128">
        <v>82.47</v>
      </c>
      <c r="G95" s="52">
        <f>E95*F95</f>
        <v>960.7755</v>
      </c>
      <c r="H95" s="44">
        <f>I95/(1000/G95)</f>
        <v>32656.759244999997</v>
      </c>
      <c r="I95" s="123">
        <v>33990</v>
      </c>
      <c r="J95" s="45"/>
      <c r="K95" s="46"/>
    </row>
    <row r="96" spans="1:11" s="57" customFormat="1" ht="13.5" customHeight="1" hidden="1">
      <c r="A96" s="17"/>
      <c r="B96" s="118" t="s">
        <v>93</v>
      </c>
      <c r="C96" s="119"/>
      <c r="D96" s="127">
        <v>20</v>
      </c>
      <c r="E96" s="113" t="s">
        <v>38</v>
      </c>
      <c r="F96" s="128">
        <v>92.56</v>
      </c>
      <c r="G96" s="44">
        <v>1077</v>
      </c>
      <c r="H96" s="123">
        <f>I96/(1000/G96)</f>
        <v>46300.23</v>
      </c>
      <c r="I96" s="123">
        <v>42990</v>
      </c>
      <c r="J96" s="45"/>
      <c r="K96" s="46"/>
    </row>
    <row r="97" spans="1:11" s="54" customFormat="1" ht="13.5" customHeight="1" hidden="1">
      <c r="A97" s="130"/>
      <c r="B97" s="118" t="s">
        <v>94</v>
      </c>
      <c r="C97" s="119"/>
      <c r="D97" s="127">
        <v>20</v>
      </c>
      <c r="E97" s="113" t="s">
        <v>38</v>
      </c>
      <c r="F97" s="128">
        <v>102.59</v>
      </c>
      <c r="G97" s="128"/>
      <c r="H97" s="123"/>
      <c r="I97" s="123">
        <v>48990</v>
      </c>
      <c r="J97" s="123">
        <f>I97-240</f>
        <v>48750</v>
      </c>
      <c r="K97" s="131"/>
    </row>
    <row r="98" spans="1:13" s="37" customFormat="1" ht="21" customHeight="1">
      <c r="A98" s="130"/>
      <c r="B98" s="31" t="s">
        <v>95</v>
      </c>
      <c r="C98" s="71"/>
      <c r="D98" s="34"/>
      <c r="E98" s="34"/>
      <c r="F98" s="34"/>
      <c r="G98" s="34"/>
      <c r="H98" s="34"/>
      <c r="I98" s="34"/>
      <c r="J98" s="34"/>
      <c r="K98" s="72"/>
      <c r="M98" s="37">
        <v>272</v>
      </c>
    </row>
    <row r="99" spans="1:13" s="57" customFormat="1" ht="13.5" customHeight="1">
      <c r="A99" s="132"/>
      <c r="B99" s="49" t="s">
        <v>96</v>
      </c>
      <c r="C99" s="50">
        <v>13</v>
      </c>
      <c r="D99" s="41"/>
      <c r="E99" s="51">
        <v>6</v>
      </c>
      <c r="F99" s="133">
        <f>0.605*1.06</f>
        <v>0.6413</v>
      </c>
      <c r="G99" s="52">
        <f>E99*F99</f>
        <v>3.8478</v>
      </c>
      <c r="H99" s="44">
        <f aca="true" t="shared" si="12" ref="H99:H150">I99/(1000/G99)</f>
        <v>327.02452200000005</v>
      </c>
      <c r="I99" s="44">
        <v>84990</v>
      </c>
      <c r="J99" s="44"/>
      <c r="K99" s="46"/>
      <c r="L99" s="134">
        <v>0.605</v>
      </c>
      <c r="M99" s="57">
        <v>272</v>
      </c>
    </row>
    <row r="100" spans="1:13" s="57" customFormat="1" ht="13.5" customHeight="1">
      <c r="A100" s="132"/>
      <c r="B100" s="49" t="s">
        <v>97</v>
      </c>
      <c r="C100" s="50">
        <v>20</v>
      </c>
      <c r="D100" s="41"/>
      <c r="E100" s="51">
        <v>6</v>
      </c>
      <c r="F100" s="133">
        <f>0.841*1.09</f>
        <v>0.91669</v>
      </c>
      <c r="G100" s="52">
        <f>E100*F100</f>
        <v>5.50014</v>
      </c>
      <c r="H100" s="44">
        <f t="shared" si="12"/>
        <v>456.4566186</v>
      </c>
      <c r="I100" s="44">
        <v>82990</v>
      </c>
      <c r="J100" s="44"/>
      <c r="K100" s="46"/>
      <c r="L100" s="134">
        <v>0.841</v>
      </c>
      <c r="M100" s="57">
        <v>272</v>
      </c>
    </row>
    <row r="101" spans="1:13" s="57" customFormat="1" ht="13.5" customHeight="1">
      <c r="A101" s="132"/>
      <c r="B101" s="49" t="s">
        <v>98</v>
      </c>
      <c r="C101" s="50">
        <v>30</v>
      </c>
      <c r="D101" s="41"/>
      <c r="E101" s="51">
        <v>6</v>
      </c>
      <c r="F101" s="133"/>
      <c r="G101" s="52">
        <v>7.25</v>
      </c>
      <c r="H101" s="44">
        <f t="shared" si="12"/>
        <v>558.1774999999999</v>
      </c>
      <c r="I101" s="44">
        <v>76990</v>
      </c>
      <c r="J101" s="44"/>
      <c r="K101" s="46"/>
      <c r="L101" s="134"/>
      <c r="M101" s="57">
        <v>272</v>
      </c>
    </row>
    <row r="102" spans="1:13" s="57" customFormat="1" ht="13.5" customHeight="1">
      <c r="A102" s="132"/>
      <c r="B102" s="49" t="s">
        <v>99</v>
      </c>
      <c r="C102" s="50">
        <v>22</v>
      </c>
      <c r="D102" s="41"/>
      <c r="E102" s="51">
        <v>6</v>
      </c>
      <c r="F102" s="52">
        <f>1.07*1.02</f>
        <v>1.0914000000000001</v>
      </c>
      <c r="G102" s="43">
        <f>E102*F102</f>
        <v>6.548400000000001</v>
      </c>
      <c r="H102" s="44">
        <f t="shared" si="12"/>
        <v>543.451716</v>
      </c>
      <c r="I102" s="44">
        <v>82990</v>
      </c>
      <c r="J102" s="44"/>
      <c r="K102" s="46"/>
      <c r="L102" s="134">
        <v>1.07</v>
      </c>
      <c r="M102" s="57">
        <v>272</v>
      </c>
    </row>
    <row r="103" spans="1:13" s="57" customFormat="1" ht="13.5" customHeight="1">
      <c r="A103" s="130"/>
      <c r="B103" s="49" t="s">
        <v>100</v>
      </c>
      <c r="C103" s="50">
        <v>26</v>
      </c>
      <c r="D103" s="41"/>
      <c r="E103" s="51">
        <v>6</v>
      </c>
      <c r="F103" s="52">
        <f>1.39*1.05</f>
        <v>1.4595000000000002</v>
      </c>
      <c r="G103" s="52">
        <f>E103*F103</f>
        <v>8.757000000000001</v>
      </c>
      <c r="H103" s="44">
        <f t="shared" si="12"/>
        <v>687.3369300000002</v>
      </c>
      <c r="I103" s="44">
        <v>78490</v>
      </c>
      <c r="J103" s="44"/>
      <c r="K103" s="46"/>
      <c r="L103" s="134">
        <v>1.39</v>
      </c>
      <c r="M103" s="57">
        <v>272</v>
      </c>
    </row>
    <row r="104" spans="1:12" s="57" customFormat="1" ht="12.75" customHeight="1" hidden="1">
      <c r="A104" s="130"/>
      <c r="B104" s="49" t="s">
        <v>101</v>
      </c>
      <c r="C104" s="50">
        <v>13</v>
      </c>
      <c r="D104" s="41"/>
      <c r="E104" s="51">
        <v>6</v>
      </c>
      <c r="F104" s="52">
        <v>1.63</v>
      </c>
      <c r="G104" s="52">
        <f>E104*F104*1.04</f>
        <v>10.171199999999999</v>
      </c>
      <c r="H104" s="44">
        <f t="shared" si="12"/>
        <v>772.9094879999999</v>
      </c>
      <c r="I104" s="44">
        <v>75990</v>
      </c>
      <c r="J104" s="44">
        <f>I104-240</f>
        <v>75750</v>
      </c>
      <c r="K104" s="46"/>
      <c r="L104" s="134"/>
    </row>
    <row r="105" spans="1:13" s="54" customFormat="1" ht="13.5" customHeight="1">
      <c r="A105" s="130"/>
      <c r="B105" s="49" t="s">
        <v>102</v>
      </c>
      <c r="C105" s="50">
        <v>33</v>
      </c>
      <c r="D105" s="41"/>
      <c r="E105" s="51">
        <v>6</v>
      </c>
      <c r="F105" s="52">
        <f>1.7*1.04</f>
        <v>1.7680000000000002</v>
      </c>
      <c r="G105" s="52">
        <f aca="true" t="shared" si="13" ref="G105:G113">E105*F105</f>
        <v>10.608</v>
      </c>
      <c r="H105" s="44">
        <f t="shared" si="12"/>
        <v>827.3179200000001</v>
      </c>
      <c r="I105" s="44">
        <v>77990</v>
      </c>
      <c r="J105" s="44"/>
      <c r="K105" s="46"/>
      <c r="L105" s="134"/>
      <c r="M105" s="57">
        <v>272</v>
      </c>
    </row>
    <row r="106" spans="1:13" s="57" customFormat="1" ht="13.5" customHeight="1">
      <c r="A106" s="132"/>
      <c r="B106" s="135" t="s">
        <v>103</v>
      </c>
      <c r="C106" s="50">
        <v>33</v>
      </c>
      <c r="D106" s="41"/>
      <c r="E106" s="51">
        <v>6</v>
      </c>
      <c r="F106" s="52">
        <f>1.31*1.04</f>
        <v>1.3624</v>
      </c>
      <c r="G106" s="52">
        <f t="shared" si="13"/>
        <v>8.1744</v>
      </c>
      <c r="H106" s="44">
        <f t="shared" si="12"/>
        <v>682.4806560000001</v>
      </c>
      <c r="I106" s="44">
        <v>83490</v>
      </c>
      <c r="J106" s="44"/>
      <c r="K106" s="46"/>
      <c r="L106" s="134">
        <v>1.31</v>
      </c>
      <c r="M106" s="57">
        <v>272</v>
      </c>
    </row>
    <row r="107" spans="1:13" s="57" customFormat="1" ht="13.5" customHeight="1">
      <c r="A107" s="132"/>
      <c r="B107" s="49" t="s">
        <v>104</v>
      </c>
      <c r="C107" s="50">
        <v>33</v>
      </c>
      <c r="D107" s="42"/>
      <c r="E107" s="51">
        <v>6</v>
      </c>
      <c r="F107" s="52">
        <f>1.7*1.04</f>
        <v>1.7680000000000002</v>
      </c>
      <c r="G107" s="52">
        <f t="shared" si="13"/>
        <v>10.608</v>
      </c>
      <c r="H107" s="44">
        <f t="shared" si="12"/>
        <v>795.4939200000001</v>
      </c>
      <c r="I107" s="44">
        <v>74990</v>
      </c>
      <c r="J107" s="44"/>
      <c r="K107" s="46"/>
      <c r="L107" s="134">
        <v>1.7000000000000002</v>
      </c>
      <c r="M107" s="57">
        <v>272</v>
      </c>
    </row>
    <row r="108" spans="1:13" s="89" customFormat="1" ht="13.5" customHeight="1">
      <c r="A108" s="130"/>
      <c r="B108" s="85" t="s">
        <v>105</v>
      </c>
      <c r="C108" s="61">
        <v>35</v>
      </c>
      <c r="D108" s="86"/>
      <c r="E108" s="63">
        <v>6</v>
      </c>
      <c r="F108" s="64">
        <v>2.42</v>
      </c>
      <c r="G108" s="64">
        <f t="shared" si="13"/>
        <v>14.52</v>
      </c>
      <c r="H108" s="97">
        <f t="shared" si="12"/>
        <v>1023.5148</v>
      </c>
      <c r="I108" s="97">
        <v>70490</v>
      </c>
      <c r="J108" s="97"/>
      <c r="K108" s="87"/>
      <c r="L108" s="136">
        <v>1.7000000000000002</v>
      </c>
      <c r="M108" s="89">
        <v>272</v>
      </c>
    </row>
    <row r="109" spans="1:12" s="57" customFormat="1" ht="13.5" customHeight="1" hidden="1">
      <c r="A109" s="132"/>
      <c r="B109" s="49" t="s">
        <v>106</v>
      </c>
      <c r="C109" s="50">
        <v>28</v>
      </c>
      <c r="D109" s="41"/>
      <c r="E109" s="51">
        <v>6</v>
      </c>
      <c r="F109" s="52">
        <f>1.43*1.143</f>
        <v>1.63449</v>
      </c>
      <c r="G109" s="52">
        <f t="shared" si="13"/>
        <v>9.80694</v>
      </c>
      <c r="H109" s="44">
        <f t="shared" si="12"/>
        <v>784.4571306</v>
      </c>
      <c r="I109" s="44">
        <v>79990</v>
      </c>
      <c r="J109" s="44"/>
      <c r="K109" s="46"/>
      <c r="L109" s="134">
        <v>1.43</v>
      </c>
    </row>
    <row r="110" spans="1:13" s="57" customFormat="1" ht="13.5" customHeight="1">
      <c r="A110" s="132"/>
      <c r="B110" s="49" t="s">
        <v>107</v>
      </c>
      <c r="C110" s="50">
        <v>37</v>
      </c>
      <c r="D110" s="41"/>
      <c r="E110" s="51">
        <v>6</v>
      </c>
      <c r="F110" s="52">
        <f>1.91*1.04</f>
        <v>1.9864000000000002</v>
      </c>
      <c r="G110" s="52">
        <f t="shared" si="13"/>
        <v>11.918400000000002</v>
      </c>
      <c r="H110" s="44">
        <f t="shared" si="12"/>
        <v>917.5976160000002</v>
      </c>
      <c r="I110" s="44">
        <v>76990</v>
      </c>
      <c r="J110" s="44"/>
      <c r="K110" s="46"/>
      <c r="L110" s="134">
        <v>1.86</v>
      </c>
      <c r="M110" s="57">
        <v>272</v>
      </c>
    </row>
    <row r="111" spans="1:12" s="57" customFormat="1" ht="13.5" customHeight="1" hidden="1">
      <c r="A111" s="132"/>
      <c r="B111" s="49" t="s">
        <v>108</v>
      </c>
      <c r="C111" s="50">
        <v>37</v>
      </c>
      <c r="D111" s="41"/>
      <c r="E111" s="51">
        <v>6</v>
      </c>
      <c r="F111" s="52">
        <f>1.78*1.055</f>
        <v>1.8779</v>
      </c>
      <c r="G111" s="52">
        <f t="shared" si="13"/>
        <v>11.267399999999999</v>
      </c>
      <c r="H111" s="44">
        <f t="shared" si="12"/>
        <v>890.0119259999998</v>
      </c>
      <c r="I111" s="44">
        <v>78990</v>
      </c>
      <c r="J111" s="44"/>
      <c r="K111" s="46"/>
      <c r="L111" s="134">
        <v>1.78</v>
      </c>
    </row>
    <row r="112" spans="1:13" s="57" customFormat="1" ht="13.5" customHeight="1">
      <c r="A112" s="132"/>
      <c r="B112" s="49" t="s">
        <v>109</v>
      </c>
      <c r="C112" s="50">
        <v>40</v>
      </c>
      <c r="D112" s="41"/>
      <c r="E112" s="51">
        <v>6</v>
      </c>
      <c r="F112" s="52">
        <f>2.33*1.05</f>
        <v>2.4465000000000003</v>
      </c>
      <c r="G112" s="52">
        <f t="shared" si="13"/>
        <v>14.679000000000002</v>
      </c>
      <c r="H112" s="44">
        <f t="shared" si="12"/>
        <v>1086.0992100000003</v>
      </c>
      <c r="I112" s="44">
        <v>73990</v>
      </c>
      <c r="J112" s="44"/>
      <c r="K112" s="46"/>
      <c r="L112" s="134">
        <v>2.33</v>
      </c>
      <c r="M112" s="57">
        <v>272</v>
      </c>
    </row>
    <row r="113" spans="1:13" s="89" customFormat="1" ht="13.5" customHeight="1">
      <c r="A113" s="130"/>
      <c r="B113" s="85" t="s">
        <v>110</v>
      </c>
      <c r="C113" s="61">
        <v>46</v>
      </c>
      <c r="D113" s="62"/>
      <c r="E113" s="63">
        <v>6</v>
      </c>
      <c r="F113" s="64">
        <f>3.36*1.05</f>
        <v>3.528</v>
      </c>
      <c r="G113" s="64">
        <f t="shared" si="13"/>
        <v>21.168</v>
      </c>
      <c r="H113" s="97">
        <f t="shared" si="12"/>
        <v>1470.9643199999998</v>
      </c>
      <c r="I113" s="97">
        <v>69490</v>
      </c>
      <c r="J113" s="97"/>
      <c r="K113" s="87"/>
      <c r="L113" s="136">
        <v>3.36</v>
      </c>
      <c r="M113" s="89">
        <v>272</v>
      </c>
    </row>
    <row r="114" spans="1:12" s="57" customFormat="1" ht="13.5" customHeight="1" hidden="1">
      <c r="A114" s="132"/>
      <c r="B114" s="49" t="s">
        <v>111</v>
      </c>
      <c r="C114" s="50">
        <v>15</v>
      </c>
      <c r="D114" s="41"/>
      <c r="E114" s="51">
        <v>6</v>
      </c>
      <c r="F114" s="52">
        <v>1.67</v>
      </c>
      <c r="G114" s="43">
        <v>11.5</v>
      </c>
      <c r="H114" s="44">
        <f t="shared" si="12"/>
        <v>497.375</v>
      </c>
      <c r="I114" s="44">
        <v>43250</v>
      </c>
      <c r="J114" s="44"/>
      <c r="K114" s="46"/>
      <c r="L114" s="134"/>
    </row>
    <row r="115" spans="1:13" s="57" customFormat="1" ht="13.5" customHeight="1">
      <c r="A115" s="132"/>
      <c r="B115" s="49" t="s">
        <v>112</v>
      </c>
      <c r="C115" s="50">
        <v>40</v>
      </c>
      <c r="D115" s="41"/>
      <c r="E115" s="51">
        <v>6</v>
      </c>
      <c r="F115" s="52">
        <f>2.17*1.05</f>
        <v>2.2785</v>
      </c>
      <c r="G115" s="52">
        <f>E115*F115</f>
        <v>13.671000000000001</v>
      </c>
      <c r="H115" s="44">
        <f t="shared" si="12"/>
        <v>1025.18829</v>
      </c>
      <c r="I115" s="44">
        <v>74990</v>
      </c>
      <c r="J115" s="44"/>
      <c r="K115" s="46"/>
      <c r="L115" s="134">
        <v>2.17</v>
      </c>
      <c r="M115" s="57">
        <v>272</v>
      </c>
    </row>
    <row r="116" spans="1:13" s="57" customFormat="1" ht="13.5" customHeight="1">
      <c r="A116" s="132"/>
      <c r="B116" s="49" t="s">
        <v>113</v>
      </c>
      <c r="C116" s="50">
        <v>53</v>
      </c>
      <c r="D116" s="41"/>
      <c r="E116" s="51">
        <v>6</v>
      </c>
      <c r="F116" s="52">
        <f>2.96*1.05</f>
        <v>3.108</v>
      </c>
      <c r="G116" s="52">
        <f>E116*F116</f>
        <v>18.648</v>
      </c>
      <c r="H116" s="44">
        <f t="shared" si="12"/>
        <v>1342.46952</v>
      </c>
      <c r="I116" s="44">
        <v>71990</v>
      </c>
      <c r="J116" s="44"/>
      <c r="K116" s="46"/>
      <c r="L116" s="134">
        <v>2.96</v>
      </c>
      <c r="M116" s="57">
        <v>272</v>
      </c>
    </row>
    <row r="117" spans="1:13" s="89" customFormat="1" ht="13.5" customHeight="1">
      <c r="A117" s="130"/>
      <c r="B117" s="85" t="s">
        <v>114</v>
      </c>
      <c r="C117" s="61">
        <v>60</v>
      </c>
      <c r="D117" s="62"/>
      <c r="E117" s="96">
        <v>6</v>
      </c>
      <c r="F117" s="64">
        <f>4.31*1.05</f>
        <v>4.5255</v>
      </c>
      <c r="G117" s="64">
        <f>E117*F117</f>
        <v>27.153</v>
      </c>
      <c r="H117" s="66">
        <f t="shared" si="12"/>
        <v>1859.70897</v>
      </c>
      <c r="I117" s="97">
        <v>68490</v>
      </c>
      <c r="J117" s="97"/>
      <c r="K117" s="46"/>
      <c r="L117" s="136">
        <v>4.31</v>
      </c>
      <c r="M117" s="89">
        <v>272</v>
      </c>
    </row>
    <row r="118" spans="1:12" s="54" customFormat="1" ht="13.5" customHeight="1" hidden="1">
      <c r="A118" s="130"/>
      <c r="B118" s="49" t="s">
        <v>115</v>
      </c>
      <c r="C118" s="50">
        <v>18</v>
      </c>
      <c r="D118" s="41"/>
      <c r="E118" s="93">
        <v>5.8</v>
      </c>
      <c r="F118" s="52">
        <v>2.108</v>
      </c>
      <c r="G118" s="43">
        <f>E118*F118</f>
        <v>12.2264</v>
      </c>
      <c r="H118" s="45">
        <f t="shared" si="12"/>
        <v>550.065736</v>
      </c>
      <c r="I118" s="44">
        <v>44990</v>
      </c>
      <c r="J118" s="44"/>
      <c r="K118" s="46"/>
      <c r="L118" s="134"/>
    </row>
    <row r="119" spans="1:13" s="57" customFormat="1" ht="13.5" customHeight="1">
      <c r="A119" s="132"/>
      <c r="B119" s="49" t="s">
        <v>116</v>
      </c>
      <c r="C119" s="50">
        <v>40</v>
      </c>
      <c r="D119" s="41"/>
      <c r="E119" s="51">
        <v>6</v>
      </c>
      <c r="F119" s="52">
        <f>2.65*1.04</f>
        <v>2.756</v>
      </c>
      <c r="G119" s="52">
        <f>E119*F119</f>
        <v>16.535999999999998</v>
      </c>
      <c r="H119" s="44">
        <f t="shared" si="12"/>
        <v>1223.4986399999998</v>
      </c>
      <c r="I119" s="44">
        <v>73990</v>
      </c>
      <c r="J119" s="44"/>
      <c r="K119" s="46"/>
      <c r="L119" s="134">
        <v>2.65</v>
      </c>
      <c r="M119" s="57">
        <v>272</v>
      </c>
    </row>
    <row r="120" spans="1:12" s="57" customFormat="1" ht="13.5" customHeight="1" hidden="1">
      <c r="A120" s="132"/>
      <c r="B120" s="49" t="s">
        <v>117</v>
      </c>
      <c r="C120" s="50">
        <v>18</v>
      </c>
      <c r="D120" s="41"/>
      <c r="E120" s="51">
        <v>6</v>
      </c>
      <c r="F120" s="52"/>
      <c r="G120" s="52">
        <v>25</v>
      </c>
      <c r="H120" s="44">
        <f t="shared" si="12"/>
        <v>1949.75</v>
      </c>
      <c r="I120" s="44">
        <v>77990</v>
      </c>
      <c r="J120" s="44"/>
      <c r="K120" s="46"/>
      <c r="L120" s="134">
        <v>2.65</v>
      </c>
    </row>
    <row r="121" spans="1:13" s="57" customFormat="1" ht="13.5" customHeight="1">
      <c r="A121" s="132"/>
      <c r="B121" s="49" t="s">
        <v>118</v>
      </c>
      <c r="C121" s="50">
        <v>53</v>
      </c>
      <c r="D121" s="41"/>
      <c r="E121" s="51">
        <v>6</v>
      </c>
      <c r="F121" s="52">
        <f>2.96*1.04</f>
        <v>3.0784000000000002</v>
      </c>
      <c r="G121" s="52">
        <f aca="true" t="shared" si="14" ref="G121:G137">E121*F121</f>
        <v>18.4704</v>
      </c>
      <c r="H121" s="44">
        <f t="shared" si="12"/>
        <v>1366.6248960000003</v>
      </c>
      <c r="I121" s="44">
        <v>73990</v>
      </c>
      <c r="J121" s="44"/>
      <c r="K121" s="46"/>
      <c r="L121" s="134">
        <v>2.96</v>
      </c>
      <c r="M121" s="57">
        <v>272</v>
      </c>
    </row>
    <row r="122" spans="1:12" s="57" customFormat="1" ht="13.5" customHeight="1" hidden="1">
      <c r="A122" s="132"/>
      <c r="B122" s="49" t="s">
        <v>119</v>
      </c>
      <c r="C122" s="50">
        <v>22</v>
      </c>
      <c r="D122" s="41"/>
      <c r="E122" s="51">
        <v>6</v>
      </c>
      <c r="F122" s="52">
        <f>5.77*1.04</f>
        <v>6.0008</v>
      </c>
      <c r="G122" s="52">
        <f t="shared" si="14"/>
        <v>36.0048</v>
      </c>
      <c r="H122" s="44">
        <f t="shared" si="12"/>
        <v>2808.014352</v>
      </c>
      <c r="I122" s="44">
        <v>77990</v>
      </c>
      <c r="J122" s="44"/>
      <c r="K122" s="46"/>
      <c r="L122" s="134">
        <v>2.96</v>
      </c>
    </row>
    <row r="123" spans="1:12" s="57" customFormat="1" ht="13.5" customHeight="1" hidden="1">
      <c r="A123" s="132"/>
      <c r="B123" s="135" t="s">
        <v>120</v>
      </c>
      <c r="C123" s="50">
        <v>24</v>
      </c>
      <c r="D123" s="41"/>
      <c r="E123" s="51">
        <v>6</v>
      </c>
      <c r="F123" s="52">
        <f>3.59*1.088</f>
        <v>3.90592</v>
      </c>
      <c r="G123" s="52">
        <f t="shared" si="14"/>
        <v>23.43552</v>
      </c>
      <c r="H123" s="44">
        <f t="shared" si="12"/>
        <v>1827.7362048</v>
      </c>
      <c r="I123" s="44">
        <v>77990</v>
      </c>
      <c r="J123" s="44"/>
      <c r="K123" s="46"/>
      <c r="L123" s="134">
        <v>3.59</v>
      </c>
    </row>
    <row r="124" spans="1:13" s="57" customFormat="1" ht="13.5" customHeight="1">
      <c r="A124" s="132"/>
      <c r="B124" s="49" t="s">
        <v>121</v>
      </c>
      <c r="C124" s="50">
        <v>63</v>
      </c>
      <c r="D124" s="41"/>
      <c r="E124" s="51">
        <v>6</v>
      </c>
      <c r="F124" s="52">
        <f>3.59*1.05</f>
        <v>3.7695</v>
      </c>
      <c r="G124" s="52">
        <f t="shared" si="14"/>
        <v>22.616999999999997</v>
      </c>
      <c r="H124" s="44">
        <f t="shared" si="12"/>
        <v>1650.8148299999998</v>
      </c>
      <c r="I124" s="44">
        <v>72990</v>
      </c>
      <c r="J124" s="44"/>
      <c r="K124" s="46"/>
      <c r="L124" s="134">
        <v>3.59</v>
      </c>
      <c r="M124" s="57">
        <v>272</v>
      </c>
    </row>
    <row r="125" spans="1:13" s="89" customFormat="1" ht="13.5" customHeight="1">
      <c r="A125" s="130"/>
      <c r="B125" s="85" t="s">
        <v>122</v>
      </c>
      <c r="C125" s="61">
        <v>65</v>
      </c>
      <c r="D125" s="62"/>
      <c r="E125" s="63">
        <v>6</v>
      </c>
      <c r="F125" s="64">
        <f>5.25*1.0085</f>
        <v>5.294625</v>
      </c>
      <c r="G125" s="64">
        <f t="shared" si="14"/>
        <v>31.76775</v>
      </c>
      <c r="H125" s="97">
        <f t="shared" si="12"/>
        <v>2191.6570724999997</v>
      </c>
      <c r="I125" s="97">
        <v>68990</v>
      </c>
      <c r="J125" s="97"/>
      <c r="K125" s="87"/>
      <c r="L125" s="136"/>
      <c r="M125" s="89">
        <v>272</v>
      </c>
    </row>
    <row r="126" spans="1:12" s="89" customFormat="1" ht="13.5" customHeight="1" hidden="1">
      <c r="A126" s="130"/>
      <c r="B126" s="85" t="s">
        <v>123</v>
      </c>
      <c r="C126" s="61">
        <v>24</v>
      </c>
      <c r="D126" s="62"/>
      <c r="E126" s="63">
        <v>6</v>
      </c>
      <c r="F126" s="64">
        <v>6.82</v>
      </c>
      <c r="G126" s="64">
        <f t="shared" si="14"/>
        <v>40.92</v>
      </c>
      <c r="H126" s="97">
        <f t="shared" si="12"/>
        <v>1861.4508</v>
      </c>
      <c r="I126" s="44">
        <v>45490</v>
      </c>
      <c r="J126" s="97"/>
      <c r="K126" s="67"/>
      <c r="L126" s="136">
        <v>3.59</v>
      </c>
    </row>
    <row r="127" spans="1:13" s="57" customFormat="1" ht="13.5" customHeight="1">
      <c r="A127" s="132"/>
      <c r="B127" s="118" t="s">
        <v>124</v>
      </c>
      <c r="C127" s="119">
        <v>63</v>
      </c>
      <c r="D127" s="127"/>
      <c r="E127" s="121">
        <v>6</v>
      </c>
      <c r="F127" s="128">
        <f>3.59*1.05</f>
        <v>3.7695</v>
      </c>
      <c r="G127" s="52">
        <f t="shared" si="14"/>
        <v>22.616999999999997</v>
      </c>
      <c r="H127" s="44">
        <f t="shared" si="12"/>
        <v>1650.8148299999998</v>
      </c>
      <c r="I127" s="44">
        <v>72990</v>
      </c>
      <c r="J127" s="44"/>
      <c r="K127" s="46"/>
      <c r="L127" s="134"/>
      <c r="M127" s="57">
        <v>272</v>
      </c>
    </row>
    <row r="128" spans="1:12" s="57" customFormat="1" ht="13.5" customHeight="1" hidden="1">
      <c r="A128" s="132"/>
      <c r="B128" s="118" t="s">
        <v>125</v>
      </c>
      <c r="C128" s="119">
        <v>24</v>
      </c>
      <c r="D128" s="127"/>
      <c r="E128" s="121">
        <v>6</v>
      </c>
      <c r="F128" s="128">
        <v>5.39</v>
      </c>
      <c r="G128" s="52">
        <f t="shared" si="14"/>
        <v>32.339999999999996</v>
      </c>
      <c r="H128" s="44">
        <f t="shared" si="12"/>
        <v>1390.2966</v>
      </c>
      <c r="I128" s="44">
        <v>42990</v>
      </c>
      <c r="J128" s="44"/>
      <c r="K128" s="137"/>
      <c r="L128" s="134"/>
    </row>
    <row r="129" spans="1:12" s="57" customFormat="1" ht="13.5" customHeight="1" hidden="1">
      <c r="A129" s="132"/>
      <c r="B129" s="118" t="s">
        <v>126</v>
      </c>
      <c r="C129" s="119">
        <v>24</v>
      </c>
      <c r="D129" s="127"/>
      <c r="E129" s="121">
        <v>6</v>
      </c>
      <c r="F129" s="128">
        <f>7.03*1.07</f>
        <v>7.522100000000001</v>
      </c>
      <c r="G129" s="52">
        <f t="shared" si="14"/>
        <v>45.132600000000004</v>
      </c>
      <c r="H129" s="44">
        <f t="shared" si="12"/>
        <v>1940.2504740000002</v>
      </c>
      <c r="I129" s="44">
        <v>42990</v>
      </c>
      <c r="J129" s="44"/>
      <c r="K129" s="137"/>
      <c r="L129" s="134"/>
    </row>
    <row r="130" spans="1:12" s="89" customFormat="1" ht="13.5" customHeight="1" hidden="1">
      <c r="A130" s="130"/>
      <c r="B130" s="138" t="s">
        <v>127</v>
      </c>
      <c r="C130" s="116">
        <v>60</v>
      </c>
      <c r="D130" s="139"/>
      <c r="E130" s="124">
        <v>12</v>
      </c>
      <c r="F130" s="140">
        <v>6</v>
      </c>
      <c r="G130" s="64">
        <f t="shared" si="14"/>
        <v>72</v>
      </c>
      <c r="H130" s="97">
        <f t="shared" si="12"/>
        <v>2574</v>
      </c>
      <c r="I130" s="97">
        <v>35750</v>
      </c>
      <c r="J130" s="97"/>
      <c r="K130" s="87" t="s">
        <v>26</v>
      </c>
      <c r="L130" s="136"/>
    </row>
    <row r="131" spans="1:12" s="57" customFormat="1" ht="13.5" customHeight="1" hidden="1">
      <c r="A131" s="132"/>
      <c r="B131" s="141" t="s">
        <v>128</v>
      </c>
      <c r="C131" s="119">
        <v>60</v>
      </c>
      <c r="D131" s="127"/>
      <c r="E131" s="121">
        <v>6</v>
      </c>
      <c r="F131" s="128">
        <f>7.13*1.04</f>
        <v>7.4152000000000005</v>
      </c>
      <c r="G131" s="52">
        <f t="shared" si="14"/>
        <v>44.491200000000006</v>
      </c>
      <c r="H131" s="44">
        <f t="shared" si="12"/>
        <v>1590.5604000000003</v>
      </c>
      <c r="I131" s="44">
        <v>35750</v>
      </c>
      <c r="J131" s="44"/>
      <c r="K131" s="46" t="s">
        <v>26</v>
      </c>
      <c r="L131" s="134">
        <v>7.13</v>
      </c>
    </row>
    <row r="132" spans="1:13" s="89" customFormat="1" ht="13.5" customHeight="1">
      <c r="A132" s="130"/>
      <c r="B132" s="138" t="s">
        <v>129</v>
      </c>
      <c r="C132" s="116">
        <v>80</v>
      </c>
      <c r="D132" s="139"/>
      <c r="E132" s="124">
        <v>6</v>
      </c>
      <c r="F132" s="140">
        <f>7.13*1.04</f>
        <v>7.4152000000000005</v>
      </c>
      <c r="G132" s="64">
        <f t="shared" si="14"/>
        <v>44.491200000000006</v>
      </c>
      <c r="H132" s="97">
        <f t="shared" si="12"/>
        <v>3981.517488000001</v>
      </c>
      <c r="I132" s="97">
        <v>89490</v>
      </c>
      <c r="J132" s="97"/>
      <c r="K132" s="87" t="s">
        <v>130</v>
      </c>
      <c r="L132" s="136">
        <v>7.13</v>
      </c>
      <c r="M132" s="89">
        <v>272</v>
      </c>
    </row>
    <row r="133" spans="1:13" s="57" customFormat="1" ht="13.5" customHeight="1">
      <c r="A133" s="132"/>
      <c r="B133" s="118" t="s">
        <v>129</v>
      </c>
      <c r="C133" s="119">
        <v>80</v>
      </c>
      <c r="D133" s="127"/>
      <c r="E133" s="121">
        <v>12</v>
      </c>
      <c r="F133" s="128">
        <f>7.13*1.04</f>
        <v>7.4152000000000005</v>
      </c>
      <c r="G133" s="52">
        <f t="shared" si="14"/>
        <v>88.98240000000001</v>
      </c>
      <c r="H133" s="44">
        <f t="shared" si="12"/>
        <v>6227.878176000001</v>
      </c>
      <c r="I133" s="44">
        <v>69990</v>
      </c>
      <c r="J133" s="44"/>
      <c r="K133" s="46"/>
      <c r="L133" s="134">
        <v>7.13</v>
      </c>
      <c r="M133" s="57">
        <v>272</v>
      </c>
    </row>
    <row r="134" spans="1:13" s="89" customFormat="1" ht="13.5" customHeight="1">
      <c r="A134" s="130"/>
      <c r="B134" s="85" t="s">
        <v>131</v>
      </c>
      <c r="C134" s="61">
        <v>80</v>
      </c>
      <c r="D134" s="62"/>
      <c r="E134" s="63">
        <v>6</v>
      </c>
      <c r="F134" s="64">
        <f>9.33*1.04</f>
        <v>9.7032</v>
      </c>
      <c r="G134" s="64">
        <f t="shared" si="14"/>
        <v>58.2192</v>
      </c>
      <c r="H134" s="97">
        <f t="shared" si="12"/>
        <v>5180.926608</v>
      </c>
      <c r="I134" s="97">
        <v>88990</v>
      </c>
      <c r="J134" s="97"/>
      <c r="K134" s="117" t="s">
        <v>130</v>
      </c>
      <c r="L134" s="136">
        <v>9.54</v>
      </c>
      <c r="M134" s="89">
        <v>272</v>
      </c>
    </row>
    <row r="135" spans="1:13" s="57" customFormat="1" ht="13.5" customHeight="1">
      <c r="A135" s="132"/>
      <c r="B135" s="49" t="s">
        <v>131</v>
      </c>
      <c r="C135" s="50">
        <v>80</v>
      </c>
      <c r="D135" s="41"/>
      <c r="E135" s="51">
        <v>12</v>
      </c>
      <c r="F135" s="52">
        <f>9.33*1.04</f>
        <v>9.7032</v>
      </c>
      <c r="G135" s="52">
        <f t="shared" si="14"/>
        <v>116.4384</v>
      </c>
      <c r="H135" s="44">
        <f t="shared" si="12"/>
        <v>8149.5236159999995</v>
      </c>
      <c r="I135" s="44">
        <v>69990</v>
      </c>
      <c r="J135" s="44"/>
      <c r="K135" s="120"/>
      <c r="L135" s="134">
        <v>9.54</v>
      </c>
      <c r="M135" s="57">
        <v>272</v>
      </c>
    </row>
    <row r="136" spans="1:12" s="57" customFormat="1" ht="13.5" customHeight="1" hidden="1">
      <c r="A136" s="132"/>
      <c r="B136" s="118" t="s">
        <v>132</v>
      </c>
      <c r="C136" s="119">
        <v>32</v>
      </c>
      <c r="D136" s="127"/>
      <c r="E136" s="121">
        <v>6</v>
      </c>
      <c r="F136" s="128"/>
      <c r="G136" s="52">
        <f t="shared" si="14"/>
        <v>0</v>
      </c>
      <c r="H136" s="44" t="e">
        <f t="shared" si="12"/>
        <v>#DIV/0!</v>
      </c>
      <c r="I136" s="44">
        <v>41750</v>
      </c>
      <c r="J136" s="44"/>
      <c r="K136" s="137"/>
      <c r="L136" s="134"/>
    </row>
    <row r="137" spans="1:12" s="57" customFormat="1" ht="13.5" customHeight="1" hidden="1">
      <c r="A137" s="132"/>
      <c r="B137" s="118" t="s">
        <v>133</v>
      </c>
      <c r="C137" s="119">
        <v>32</v>
      </c>
      <c r="D137" s="127"/>
      <c r="E137" s="121">
        <v>12</v>
      </c>
      <c r="F137" s="128">
        <f>13.46*1.04</f>
        <v>13.998400000000002</v>
      </c>
      <c r="G137" s="52">
        <f t="shared" si="14"/>
        <v>167.98080000000002</v>
      </c>
      <c r="H137" s="44">
        <f t="shared" si="12"/>
        <v>7013.198400000001</v>
      </c>
      <c r="I137" s="44">
        <v>41750</v>
      </c>
      <c r="J137" s="44"/>
      <c r="K137" s="137"/>
      <c r="L137" s="134"/>
    </row>
    <row r="138" spans="1:13" s="89" customFormat="1" ht="13.5" customHeight="1">
      <c r="A138" s="130"/>
      <c r="B138" s="85" t="s">
        <v>134</v>
      </c>
      <c r="C138" s="61">
        <v>80</v>
      </c>
      <c r="D138" s="62"/>
      <c r="E138" s="63">
        <v>6</v>
      </c>
      <c r="F138" s="64"/>
      <c r="G138" s="64">
        <v>40</v>
      </c>
      <c r="H138" s="97">
        <f t="shared" si="12"/>
        <v>3590</v>
      </c>
      <c r="I138" s="97">
        <v>89750</v>
      </c>
      <c r="J138" s="97"/>
      <c r="K138" s="117" t="s">
        <v>130</v>
      </c>
      <c r="L138" s="136"/>
      <c r="M138" s="89">
        <v>272</v>
      </c>
    </row>
    <row r="139" spans="1:13" s="57" customFormat="1" ht="13.5" customHeight="1">
      <c r="A139" s="132"/>
      <c r="B139" s="49" t="s">
        <v>134</v>
      </c>
      <c r="C139" s="50">
        <v>80</v>
      </c>
      <c r="D139" s="41"/>
      <c r="E139" s="51">
        <v>12</v>
      </c>
      <c r="F139" s="52"/>
      <c r="G139" s="52">
        <v>80</v>
      </c>
      <c r="H139" s="44">
        <f t="shared" si="12"/>
        <v>5599.2</v>
      </c>
      <c r="I139" s="44">
        <v>69990</v>
      </c>
      <c r="J139" s="44"/>
      <c r="K139" s="46"/>
      <c r="L139" s="134">
        <v>6.66</v>
      </c>
      <c r="M139" s="57">
        <v>272</v>
      </c>
    </row>
    <row r="140" spans="1:12" s="57" customFormat="1" ht="13.5" customHeight="1" hidden="1">
      <c r="A140" s="132"/>
      <c r="B140" s="135" t="s">
        <v>135</v>
      </c>
      <c r="C140" s="50">
        <v>40</v>
      </c>
      <c r="D140" s="41"/>
      <c r="E140" s="51">
        <v>6</v>
      </c>
      <c r="F140" s="52">
        <v>9.183</v>
      </c>
      <c r="G140" s="52">
        <f>E140*F140</f>
        <v>55.098</v>
      </c>
      <c r="H140" s="44">
        <f t="shared" si="12"/>
        <v>1982.9770199999998</v>
      </c>
      <c r="I140" s="44">
        <v>35990</v>
      </c>
      <c r="J140" s="44"/>
      <c r="K140" s="46" t="s">
        <v>136</v>
      </c>
      <c r="L140" s="134"/>
    </row>
    <row r="141" spans="1:13" s="89" customFormat="1" ht="13.5" customHeight="1">
      <c r="A141" s="130"/>
      <c r="B141" s="60" t="s">
        <v>137</v>
      </c>
      <c r="C141" s="61">
        <v>110</v>
      </c>
      <c r="D141" s="62"/>
      <c r="E141" s="63">
        <v>6</v>
      </c>
      <c r="F141" s="64">
        <f>11.89</f>
        <v>11.89</v>
      </c>
      <c r="G141" s="64">
        <f>E141*F141</f>
        <v>71.34</v>
      </c>
      <c r="H141" s="97">
        <f t="shared" si="12"/>
        <v>6367.095</v>
      </c>
      <c r="I141" s="97">
        <v>89250</v>
      </c>
      <c r="J141" s="97"/>
      <c r="K141" s="87" t="s">
        <v>130</v>
      </c>
      <c r="L141" s="136">
        <v>11.84</v>
      </c>
      <c r="M141" s="89">
        <v>272</v>
      </c>
    </row>
    <row r="142" spans="1:13" s="57" customFormat="1" ht="13.5" customHeight="1">
      <c r="A142" s="132"/>
      <c r="B142" s="49" t="s">
        <v>137</v>
      </c>
      <c r="C142" s="50">
        <v>110</v>
      </c>
      <c r="D142" s="41"/>
      <c r="E142" s="51">
        <v>12</v>
      </c>
      <c r="F142" s="52">
        <v>11.89</v>
      </c>
      <c r="G142" s="52">
        <f>E142*F142</f>
        <v>142.68</v>
      </c>
      <c r="H142" s="44">
        <f t="shared" si="12"/>
        <v>9986.1732</v>
      </c>
      <c r="I142" s="44">
        <v>69990</v>
      </c>
      <c r="J142" s="44"/>
      <c r="K142" s="46"/>
      <c r="L142" s="134">
        <v>11.73</v>
      </c>
      <c r="M142" s="57">
        <v>272</v>
      </c>
    </row>
    <row r="143" spans="1:11" s="57" customFormat="1" ht="13.5" customHeight="1" hidden="1">
      <c r="A143" s="132"/>
      <c r="B143" s="49" t="s">
        <v>138</v>
      </c>
      <c r="C143" s="50">
        <v>36</v>
      </c>
      <c r="D143" s="41" t="s">
        <v>139</v>
      </c>
      <c r="E143" s="51">
        <v>12</v>
      </c>
      <c r="F143" s="52"/>
      <c r="G143" s="52">
        <v>130</v>
      </c>
      <c r="H143" s="44">
        <f t="shared" si="12"/>
        <v>4062.5</v>
      </c>
      <c r="I143" s="44">
        <v>31250</v>
      </c>
      <c r="J143" s="45">
        <f>I143-260</f>
        <v>30990</v>
      </c>
      <c r="K143" s="142"/>
    </row>
    <row r="144" spans="1:11" s="89" customFormat="1" ht="13.5" customHeight="1" hidden="1">
      <c r="A144" s="130"/>
      <c r="B144" s="60" t="s">
        <v>140</v>
      </c>
      <c r="C144" s="61">
        <v>48</v>
      </c>
      <c r="D144" s="62"/>
      <c r="E144" s="63">
        <v>6</v>
      </c>
      <c r="F144" s="64">
        <f>14.57*1.03</f>
        <v>15.007100000000001</v>
      </c>
      <c r="G144" s="64">
        <f>E144*F144</f>
        <v>90.04260000000001</v>
      </c>
      <c r="H144" s="97">
        <f t="shared" si="12"/>
        <v>3240.633174</v>
      </c>
      <c r="I144" s="97">
        <v>35990</v>
      </c>
      <c r="J144" s="66"/>
      <c r="K144" s="87" t="s">
        <v>136</v>
      </c>
    </row>
    <row r="145" spans="1:11" s="54" customFormat="1" ht="13.5" customHeight="1" hidden="1">
      <c r="A145" s="130"/>
      <c r="B145" s="49" t="s">
        <v>141</v>
      </c>
      <c r="C145" s="50">
        <v>50</v>
      </c>
      <c r="D145" s="41" t="s">
        <v>139</v>
      </c>
      <c r="E145" s="51">
        <v>12</v>
      </c>
      <c r="F145" s="52">
        <f>18.06*1.04</f>
        <v>18.7824</v>
      </c>
      <c r="G145" s="52">
        <f>E145*F145</f>
        <v>225.3888</v>
      </c>
      <c r="H145" s="44">
        <f t="shared" si="12"/>
        <v>7043.4</v>
      </c>
      <c r="I145" s="44">
        <v>31250</v>
      </c>
      <c r="J145" s="45">
        <f>I145-260</f>
        <v>30990</v>
      </c>
      <c r="K145" s="142"/>
    </row>
    <row r="146" spans="1:11" s="54" customFormat="1" ht="13.5" customHeight="1" hidden="1">
      <c r="A146" s="130"/>
      <c r="B146" s="49" t="s">
        <v>142</v>
      </c>
      <c r="C146" s="50">
        <v>100</v>
      </c>
      <c r="D146" s="41"/>
      <c r="E146" s="113" t="s">
        <v>73</v>
      </c>
      <c r="F146" s="52">
        <v>21.47</v>
      </c>
      <c r="G146" s="52">
        <f>E146*F146</f>
        <v>257.64</v>
      </c>
      <c r="H146" s="44">
        <f t="shared" si="12"/>
        <v>19964.5236</v>
      </c>
      <c r="I146" s="44">
        <v>77490</v>
      </c>
      <c r="J146" s="44"/>
      <c r="K146" s="142"/>
    </row>
    <row r="147" spans="1:11" s="54" customFormat="1" ht="13.5" customHeight="1" hidden="1">
      <c r="A147" s="130"/>
      <c r="B147" s="49" t="s">
        <v>143</v>
      </c>
      <c r="C147" s="50"/>
      <c r="D147" s="41" t="s">
        <v>139</v>
      </c>
      <c r="E147" s="113" t="s">
        <v>73</v>
      </c>
      <c r="F147" s="52"/>
      <c r="G147" s="52">
        <v>192</v>
      </c>
      <c r="H147" s="44">
        <f t="shared" si="12"/>
        <v>6192</v>
      </c>
      <c r="I147" s="44">
        <v>32250</v>
      </c>
      <c r="J147" s="44"/>
      <c r="K147" s="142"/>
    </row>
    <row r="148" spans="1:11" s="54" customFormat="1" ht="13.5" customHeight="1" hidden="1">
      <c r="A148" s="130"/>
      <c r="B148" s="49" t="s">
        <v>144</v>
      </c>
      <c r="C148" s="50"/>
      <c r="D148" s="41" t="s">
        <v>139</v>
      </c>
      <c r="E148" s="113" t="s">
        <v>78</v>
      </c>
      <c r="F148" s="52">
        <v>24.76</v>
      </c>
      <c r="G148" s="52">
        <f>E148*F148</f>
        <v>289.692</v>
      </c>
      <c r="H148" s="44">
        <f t="shared" si="12"/>
        <v>8977.55508</v>
      </c>
      <c r="I148" s="44">
        <v>30990</v>
      </c>
      <c r="J148" s="44">
        <f>I148-240</f>
        <v>30750</v>
      </c>
      <c r="K148" s="142"/>
    </row>
    <row r="149" spans="1:11" s="54" customFormat="1" ht="13.5" customHeight="1" hidden="1">
      <c r="A149" s="130"/>
      <c r="B149" s="118" t="s">
        <v>145</v>
      </c>
      <c r="C149" s="119"/>
      <c r="D149" s="127" t="s">
        <v>139</v>
      </c>
      <c r="E149" s="143" t="s">
        <v>78</v>
      </c>
      <c r="F149" s="128">
        <v>22.42</v>
      </c>
      <c r="G149" s="128">
        <f>E149*F149</f>
        <v>262.314</v>
      </c>
      <c r="H149" s="123">
        <f t="shared" si="12"/>
        <v>8129.110860000001</v>
      </c>
      <c r="I149" s="123">
        <v>30990</v>
      </c>
      <c r="J149" s="44">
        <f>I149-240</f>
        <v>30750</v>
      </c>
      <c r="K149" s="144"/>
    </row>
    <row r="150" spans="1:11" s="54" customFormat="1" ht="13.5" customHeight="1" hidden="1">
      <c r="A150" s="130"/>
      <c r="B150" s="118" t="s">
        <v>146</v>
      </c>
      <c r="C150" s="119">
        <v>80</v>
      </c>
      <c r="D150" s="127" t="s">
        <v>139</v>
      </c>
      <c r="E150" s="143" t="s">
        <v>62</v>
      </c>
      <c r="F150" s="128"/>
      <c r="G150" s="128">
        <v>345</v>
      </c>
      <c r="H150" s="123">
        <f t="shared" si="12"/>
        <v>15521.55</v>
      </c>
      <c r="I150" s="123">
        <v>44990</v>
      </c>
      <c r="J150" s="123"/>
      <c r="K150" s="144"/>
    </row>
    <row r="151" spans="1:11" s="54" customFormat="1" ht="21" customHeight="1" hidden="1">
      <c r="A151" s="130"/>
      <c r="B151" s="31" t="s">
        <v>147</v>
      </c>
      <c r="C151" s="145"/>
      <c r="D151" s="146"/>
      <c r="E151" s="147"/>
      <c r="F151" s="148"/>
      <c r="G151" s="148"/>
      <c r="H151" s="149"/>
      <c r="I151" s="149"/>
      <c r="J151" s="149"/>
      <c r="K151" s="150"/>
    </row>
    <row r="152" spans="1:11" s="57" customFormat="1" ht="13.5" customHeight="1" hidden="1">
      <c r="A152" s="130"/>
      <c r="B152" s="49" t="s">
        <v>148</v>
      </c>
      <c r="C152" s="50">
        <v>5</v>
      </c>
      <c r="D152" s="41">
        <v>20</v>
      </c>
      <c r="E152" s="113" t="s">
        <v>149</v>
      </c>
      <c r="F152" s="133">
        <v>0.962</v>
      </c>
      <c r="G152" s="52">
        <f>E152*F152</f>
        <v>5.098599999999999</v>
      </c>
      <c r="H152" s="44"/>
      <c r="I152" s="44">
        <v>69990</v>
      </c>
      <c r="J152" s="44"/>
      <c r="K152" s="46" t="s">
        <v>150</v>
      </c>
    </row>
    <row r="153" spans="1:11" s="89" customFormat="1" ht="13.5" customHeight="1" hidden="1">
      <c r="A153" s="130"/>
      <c r="B153" s="85" t="s">
        <v>151</v>
      </c>
      <c r="C153" s="61">
        <v>7</v>
      </c>
      <c r="D153" s="62">
        <v>20</v>
      </c>
      <c r="E153" s="112" t="s">
        <v>38</v>
      </c>
      <c r="F153" s="151">
        <v>1.8559999999999999</v>
      </c>
      <c r="G153" s="64"/>
      <c r="H153" s="97"/>
      <c r="I153" s="152">
        <v>49990</v>
      </c>
      <c r="J153" s="97"/>
      <c r="K153" s="87" t="s">
        <v>150</v>
      </c>
    </row>
    <row r="154" spans="1:11" s="57" customFormat="1" ht="13.5" customHeight="1" hidden="1">
      <c r="A154" s="132"/>
      <c r="B154" s="49" t="s">
        <v>152</v>
      </c>
      <c r="C154" s="50">
        <v>10</v>
      </c>
      <c r="D154" s="41">
        <v>20</v>
      </c>
      <c r="E154" s="113" t="s">
        <v>38</v>
      </c>
      <c r="F154" s="133">
        <v>4.044</v>
      </c>
      <c r="G154" s="52"/>
      <c r="H154" s="44"/>
      <c r="I154" s="152">
        <v>39990</v>
      </c>
      <c r="J154" s="44"/>
      <c r="K154" s="46"/>
    </row>
    <row r="155" spans="1:11" s="57" customFormat="1" ht="13.5" customHeight="1" hidden="1">
      <c r="A155" s="132"/>
      <c r="B155" s="49" t="s">
        <v>153</v>
      </c>
      <c r="C155" s="50">
        <v>11</v>
      </c>
      <c r="D155" s="41">
        <v>20</v>
      </c>
      <c r="E155" s="113" t="s">
        <v>38</v>
      </c>
      <c r="F155" s="52">
        <v>4.93</v>
      </c>
      <c r="G155" s="52"/>
      <c r="H155" s="44"/>
      <c r="I155" s="153">
        <v>39990</v>
      </c>
      <c r="J155" s="44"/>
      <c r="K155" s="46"/>
    </row>
    <row r="156" spans="1:11" s="57" customFormat="1" ht="13.5" customHeight="1" hidden="1">
      <c r="A156" s="132"/>
      <c r="B156" s="49" t="s">
        <v>154</v>
      </c>
      <c r="C156" s="50">
        <v>12</v>
      </c>
      <c r="D156" s="41">
        <v>20</v>
      </c>
      <c r="E156" s="113" t="s">
        <v>38</v>
      </c>
      <c r="F156" s="52">
        <v>4.34</v>
      </c>
      <c r="G156" s="52"/>
      <c r="H156" s="44"/>
      <c r="I156" s="153">
        <v>109990</v>
      </c>
      <c r="J156" s="44"/>
      <c r="K156" s="46" t="s">
        <v>150</v>
      </c>
    </row>
    <row r="157" spans="1:11" s="57" customFormat="1" ht="13.5" customHeight="1" hidden="1">
      <c r="A157" s="132"/>
      <c r="B157" s="49" t="s">
        <v>155</v>
      </c>
      <c r="C157" s="50">
        <v>13</v>
      </c>
      <c r="D157" s="41">
        <v>20</v>
      </c>
      <c r="E157" s="113" t="s">
        <v>38</v>
      </c>
      <c r="F157" s="133">
        <v>6.511</v>
      </c>
      <c r="G157" s="52"/>
      <c r="H157" s="44"/>
      <c r="I157" s="153">
        <v>99990</v>
      </c>
      <c r="J157" s="44"/>
      <c r="K157" s="46" t="s">
        <v>150</v>
      </c>
    </row>
    <row r="158" spans="1:11" s="57" customFormat="1" ht="13.5" customHeight="1" hidden="1">
      <c r="A158" s="132"/>
      <c r="B158" s="49" t="s">
        <v>51</v>
      </c>
      <c r="C158" s="50">
        <v>25</v>
      </c>
      <c r="D158" s="41">
        <v>20</v>
      </c>
      <c r="E158" s="113" t="s">
        <v>38</v>
      </c>
      <c r="F158" s="52">
        <v>4.62</v>
      </c>
      <c r="G158" s="52"/>
      <c r="H158" s="44"/>
      <c r="I158" s="153">
        <v>39990</v>
      </c>
      <c r="J158" s="44"/>
      <c r="K158" s="46"/>
    </row>
    <row r="159" spans="1:11" s="57" customFormat="1" ht="13.5" customHeight="1" hidden="1">
      <c r="A159" s="132"/>
      <c r="B159" s="49" t="s">
        <v>156</v>
      </c>
      <c r="C159" s="50"/>
      <c r="D159" s="41">
        <v>20</v>
      </c>
      <c r="E159" s="113" t="s">
        <v>38</v>
      </c>
      <c r="F159" s="52">
        <v>5.23</v>
      </c>
      <c r="G159" s="52"/>
      <c r="H159" s="44"/>
      <c r="I159" s="153">
        <v>43990</v>
      </c>
      <c r="J159" s="44"/>
      <c r="K159" s="46"/>
    </row>
    <row r="160" spans="1:11" s="57" customFormat="1" ht="13.5" customHeight="1" hidden="1">
      <c r="A160" s="132"/>
      <c r="B160" s="49" t="s">
        <v>157</v>
      </c>
      <c r="C160" s="50">
        <v>25</v>
      </c>
      <c r="D160" s="41">
        <v>20</v>
      </c>
      <c r="E160" s="113" t="s">
        <v>38</v>
      </c>
      <c r="F160" s="52">
        <v>6.41</v>
      </c>
      <c r="G160" s="52"/>
      <c r="H160" s="44"/>
      <c r="I160" s="153">
        <v>39990</v>
      </c>
      <c r="J160" s="44"/>
      <c r="K160" s="46"/>
    </row>
    <row r="161" spans="1:11" s="57" customFormat="1" ht="13.5" customHeight="1" hidden="1">
      <c r="A161" s="132"/>
      <c r="B161" s="49" t="s">
        <v>158</v>
      </c>
      <c r="C161" s="50">
        <v>25</v>
      </c>
      <c r="D161" s="41">
        <v>20</v>
      </c>
      <c r="E161" s="113" t="s">
        <v>38</v>
      </c>
      <c r="F161" s="52">
        <v>8.63</v>
      </c>
      <c r="G161" s="52"/>
      <c r="H161" s="44"/>
      <c r="I161" s="153">
        <v>39990</v>
      </c>
      <c r="J161" s="44"/>
      <c r="K161" s="46"/>
    </row>
    <row r="162" spans="1:11" s="57" customFormat="1" ht="13.5" customHeight="1" hidden="1">
      <c r="A162" s="132"/>
      <c r="B162" s="49" t="s">
        <v>36</v>
      </c>
      <c r="C162" s="50">
        <v>29</v>
      </c>
      <c r="D162" s="41">
        <v>20</v>
      </c>
      <c r="E162" s="113" t="s">
        <v>38</v>
      </c>
      <c r="F162" s="41">
        <v>6.26</v>
      </c>
      <c r="G162" s="52"/>
      <c r="H162" s="44"/>
      <c r="I162" s="153">
        <v>39990</v>
      </c>
      <c r="J162" s="44"/>
      <c r="K162" s="114"/>
    </row>
    <row r="163" spans="1:11" s="57" customFormat="1" ht="13.5" customHeight="1" hidden="1">
      <c r="A163" s="132"/>
      <c r="B163" s="49" t="s">
        <v>159</v>
      </c>
      <c r="C163" s="50">
        <v>34</v>
      </c>
      <c r="D163" s="41">
        <v>20</v>
      </c>
      <c r="E163" s="113" t="s">
        <v>38</v>
      </c>
      <c r="F163" s="41">
        <v>8.39</v>
      </c>
      <c r="G163" s="52"/>
      <c r="H163" s="44"/>
      <c r="I163" s="153">
        <v>39990</v>
      </c>
      <c r="J163" s="44"/>
      <c r="K163" s="114"/>
    </row>
    <row r="164" spans="1:11" s="57" customFormat="1" ht="13.5" customHeight="1" hidden="1">
      <c r="A164" s="132"/>
      <c r="B164" s="49" t="s">
        <v>36</v>
      </c>
      <c r="C164" s="50">
        <v>29</v>
      </c>
      <c r="D164" s="41">
        <v>20</v>
      </c>
      <c r="E164" s="113" t="s">
        <v>38</v>
      </c>
      <c r="F164" s="41">
        <v>6.26</v>
      </c>
      <c r="G164" s="52"/>
      <c r="H164" s="44"/>
      <c r="I164" s="153">
        <v>39990</v>
      </c>
      <c r="J164" s="44"/>
      <c r="K164" s="46"/>
    </row>
    <row r="165" spans="1:11" s="57" customFormat="1" ht="13.5" customHeight="1" hidden="1">
      <c r="A165" s="132"/>
      <c r="B165" s="49" t="s">
        <v>160</v>
      </c>
      <c r="C165" s="50">
        <v>31</v>
      </c>
      <c r="D165" s="41">
        <v>20</v>
      </c>
      <c r="E165" s="113" t="s">
        <v>161</v>
      </c>
      <c r="F165" s="41">
        <v>7.1</v>
      </c>
      <c r="G165" s="52">
        <f>E165*F165</f>
        <v>46.15</v>
      </c>
      <c r="H165" s="44">
        <f>I165/(1000/G165)</f>
        <v>1384.0385</v>
      </c>
      <c r="I165" s="153">
        <v>29990</v>
      </c>
      <c r="J165" s="44"/>
      <c r="K165" s="46"/>
    </row>
    <row r="166" spans="1:11" s="57" customFormat="1" ht="13.5" customHeight="1" hidden="1">
      <c r="A166" s="132"/>
      <c r="B166" s="49" t="s">
        <v>162</v>
      </c>
      <c r="C166" s="50"/>
      <c r="D166" s="41">
        <v>20</v>
      </c>
      <c r="E166" s="113" t="s">
        <v>38</v>
      </c>
      <c r="F166" s="41">
        <v>12.28</v>
      </c>
      <c r="G166" s="52"/>
      <c r="H166" s="44"/>
      <c r="I166" s="153">
        <v>43990</v>
      </c>
      <c r="J166" s="44"/>
      <c r="K166" s="46" t="s">
        <v>163</v>
      </c>
    </row>
    <row r="167" spans="1:11" s="57" customFormat="1" ht="13.5" customHeight="1" hidden="1">
      <c r="A167" s="132"/>
      <c r="B167" s="49" t="s">
        <v>41</v>
      </c>
      <c r="C167" s="50">
        <v>20</v>
      </c>
      <c r="D167" s="41">
        <v>20</v>
      </c>
      <c r="E167" s="113" t="s">
        <v>38</v>
      </c>
      <c r="F167" s="52">
        <v>9.02</v>
      </c>
      <c r="G167" s="52"/>
      <c r="H167" s="44"/>
      <c r="I167" s="153">
        <v>39990</v>
      </c>
      <c r="J167" s="44">
        <f>I167-240</f>
        <v>39750</v>
      </c>
      <c r="K167" s="154"/>
    </row>
    <row r="168" spans="1:11" s="57" customFormat="1" ht="13.5" customHeight="1" hidden="1">
      <c r="A168" s="132"/>
      <c r="B168" s="49" t="s">
        <v>42</v>
      </c>
      <c r="C168" s="50">
        <v>55</v>
      </c>
      <c r="D168" s="41">
        <v>20</v>
      </c>
      <c r="E168" s="113" t="s">
        <v>38</v>
      </c>
      <c r="F168" s="52">
        <v>10.26</v>
      </c>
      <c r="G168" s="52"/>
      <c r="H168" s="44"/>
      <c r="I168" s="153">
        <v>39990</v>
      </c>
      <c r="J168" s="44"/>
      <c r="K168" s="154"/>
    </row>
    <row r="169" spans="1:11" s="57" customFormat="1" ht="13.5" customHeight="1" hidden="1">
      <c r="A169" s="132"/>
      <c r="B169" s="49" t="s">
        <v>164</v>
      </c>
      <c r="C169" s="50"/>
      <c r="D169" s="41">
        <v>20</v>
      </c>
      <c r="E169" s="113" t="s">
        <v>38</v>
      </c>
      <c r="F169" s="52">
        <v>12.7</v>
      </c>
      <c r="G169" s="52"/>
      <c r="H169" s="44"/>
      <c r="I169" s="153">
        <v>39990</v>
      </c>
      <c r="J169" s="44">
        <f>I169-240</f>
        <v>39750</v>
      </c>
      <c r="K169" s="154"/>
    </row>
    <row r="170" spans="1:11" s="57" customFormat="1" ht="13.5" customHeight="1" hidden="1">
      <c r="A170" s="132"/>
      <c r="B170" s="49" t="s">
        <v>165</v>
      </c>
      <c r="C170" s="50"/>
      <c r="D170" s="41">
        <v>20</v>
      </c>
      <c r="E170" s="113"/>
      <c r="F170" s="52">
        <v>15.09</v>
      </c>
      <c r="G170" s="52"/>
      <c r="H170" s="44"/>
      <c r="I170" s="153">
        <v>59990</v>
      </c>
      <c r="J170" s="44">
        <f>I170-240</f>
        <v>59750</v>
      </c>
      <c r="K170" s="154"/>
    </row>
    <row r="171" spans="1:11" s="57" customFormat="1" ht="13.5" customHeight="1" hidden="1">
      <c r="A171" s="132"/>
      <c r="B171" s="118" t="s">
        <v>67</v>
      </c>
      <c r="C171" s="119">
        <v>69</v>
      </c>
      <c r="D171" s="41">
        <v>20</v>
      </c>
      <c r="E171" s="113" t="s">
        <v>38</v>
      </c>
      <c r="F171" s="52">
        <v>15.78</v>
      </c>
      <c r="G171" s="43"/>
      <c r="H171" s="44"/>
      <c r="I171" s="153">
        <v>39990</v>
      </c>
      <c r="J171" s="44"/>
      <c r="K171" s="155"/>
    </row>
    <row r="172" spans="1:11" s="57" customFormat="1" ht="13.5" customHeight="1" hidden="1">
      <c r="A172" s="132"/>
      <c r="B172" s="118" t="s">
        <v>166</v>
      </c>
      <c r="C172" s="119">
        <v>78</v>
      </c>
      <c r="D172" s="41">
        <v>20</v>
      </c>
      <c r="E172" s="113" t="s">
        <v>38</v>
      </c>
      <c r="F172" s="156">
        <v>18.99</v>
      </c>
      <c r="G172" s="43"/>
      <c r="H172" s="44"/>
      <c r="I172" s="153">
        <v>29990</v>
      </c>
      <c r="J172" s="44"/>
      <c r="K172" s="46"/>
    </row>
    <row r="173" spans="1:11" s="57" customFormat="1" ht="13.5" customHeight="1" hidden="1">
      <c r="A173" s="132"/>
      <c r="B173" s="49" t="s">
        <v>167</v>
      </c>
      <c r="C173" s="50"/>
      <c r="D173" s="41">
        <v>20</v>
      </c>
      <c r="E173" s="113" t="s">
        <v>38</v>
      </c>
      <c r="F173" s="156">
        <v>22.64</v>
      </c>
      <c r="G173" s="52"/>
      <c r="H173" s="44"/>
      <c r="I173" s="153">
        <v>43990</v>
      </c>
      <c r="J173" s="44"/>
      <c r="K173" s="46" t="s">
        <v>168</v>
      </c>
    </row>
    <row r="174" spans="1:11" s="57" customFormat="1" ht="13.5" customHeight="1" hidden="1">
      <c r="A174" s="132"/>
      <c r="B174" s="49" t="s">
        <v>169</v>
      </c>
      <c r="C174" s="50"/>
      <c r="D174" s="41">
        <v>20</v>
      </c>
      <c r="E174" s="113" t="s">
        <v>38</v>
      </c>
      <c r="F174" s="156">
        <v>22.64</v>
      </c>
      <c r="G174" s="52"/>
      <c r="H174" s="44"/>
      <c r="I174" s="153">
        <v>43990</v>
      </c>
      <c r="J174" s="44"/>
      <c r="K174" s="46" t="s">
        <v>170</v>
      </c>
    </row>
    <row r="175" spans="1:11" s="158" customFormat="1" ht="13.5" customHeight="1" hidden="1">
      <c r="A175" s="157"/>
      <c r="B175" s="49" t="s">
        <v>84</v>
      </c>
      <c r="C175" s="50"/>
      <c r="D175" s="41">
        <v>20</v>
      </c>
      <c r="E175" s="113" t="s">
        <v>38</v>
      </c>
      <c r="F175" s="52">
        <v>45.92</v>
      </c>
      <c r="G175" s="52"/>
      <c r="H175" s="44"/>
      <c r="I175" s="153">
        <v>43990</v>
      </c>
      <c r="J175" s="44"/>
      <c r="K175" s="46"/>
    </row>
    <row r="176" spans="1:11" s="158" customFormat="1" ht="13.5" customHeight="1" hidden="1">
      <c r="A176" s="157"/>
      <c r="B176" s="49" t="s">
        <v>85</v>
      </c>
      <c r="C176" s="50"/>
      <c r="D176" s="41">
        <v>20</v>
      </c>
      <c r="E176" s="113" t="s">
        <v>38</v>
      </c>
      <c r="F176" s="52">
        <v>52.28</v>
      </c>
      <c r="G176" s="52"/>
      <c r="H176" s="44"/>
      <c r="I176" s="153">
        <v>43990</v>
      </c>
      <c r="J176" s="153"/>
      <c r="K176" s="46" t="s">
        <v>163</v>
      </c>
    </row>
    <row r="177" spans="1:11" s="59" customFormat="1" ht="13.5" customHeight="1" hidden="1">
      <c r="A177" s="159"/>
      <c r="B177" s="49" t="s">
        <v>171</v>
      </c>
      <c r="C177" s="50"/>
      <c r="D177" s="41">
        <v>20</v>
      </c>
      <c r="E177" s="113" t="s">
        <v>38</v>
      </c>
      <c r="F177" s="52">
        <v>58.6</v>
      </c>
      <c r="G177" s="52"/>
      <c r="H177" s="44"/>
      <c r="I177" s="153">
        <v>43990</v>
      </c>
      <c r="J177" s="44"/>
      <c r="K177" s="46" t="s">
        <v>168</v>
      </c>
    </row>
    <row r="178" spans="1:11" s="57" customFormat="1" ht="13.5" customHeight="1" hidden="1">
      <c r="A178" s="132"/>
      <c r="B178" s="49" t="s">
        <v>172</v>
      </c>
      <c r="C178" s="50"/>
      <c r="D178" s="41">
        <v>20</v>
      </c>
      <c r="E178" s="113" t="s">
        <v>38</v>
      </c>
      <c r="F178" s="52">
        <v>62.54</v>
      </c>
      <c r="G178" s="52"/>
      <c r="H178" s="44"/>
      <c r="I178" s="153">
        <v>43990</v>
      </c>
      <c r="J178" s="44"/>
      <c r="K178" s="46"/>
    </row>
    <row r="179" spans="1:11" s="54" customFormat="1" ht="13.5" customHeight="1" hidden="1">
      <c r="A179" s="130"/>
      <c r="B179" s="49" t="s">
        <v>173</v>
      </c>
      <c r="C179" s="50"/>
      <c r="D179" s="41">
        <v>20</v>
      </c>
      <c r="E179" s="113" t="s">
        <v>174</v>
      </c>
      <c r="F179" s="52">
        <v>81.68</v>
      </c>
      <c r="G179" s="52">
        <f>E179*F179</f>
        <v>905.8312000000001</v>
      </c>
      <c r="H179" s="44">
        <f>I179/(1000/G179)</f>
        <v>41659.176888</v>
      </c>
      <c r="I179" s="153">
        <v>45990</v>
      </c>
      <c r="J179" s="97"/>
      <c r="K179" s="46"/>
    </row>
    <row r="180" spans="1:11" s="54" customFormat="1" ht="13.5" customHeight="1" hidden="1">
      <c r="A180" s="130"/>
      <c r="B180" s="118" t="s">
        <v>93</v>
      </c>
      <c r="C180" s="119"/>
      <c r="D180" s="127">
        <v>20</v>
      </c>
      <c r="E180" s="143" t="s">
        <v>38</v>
      </c>
      <c r="F180" s="128">
        <v>92.56</v>
      </c>
      <c r="G180" s="128"/>
      <c r="H180" s="123"/>
      <c r="I180" s="160">
        <v>34990</v>
      </c>
      <c r="J180" s="125"/>
      <c r="K180" s="131"/>
    </row>
    <row r="181" spans="1:11" s="54" customFormat="1" ht="13.5" customHeight="1" hidden="1">
      <c r="A181" s="130"/>
      <c r="B181" s="118" t="s">
        <v>94</v>
      </c>
      <c r="C181" s="119"/>
      <c r="D181" s="127">
        <v>20</v>
      </c>
      <c r="E181" s="143" t="s">
        <v>175</v>
      </c>
      <c r="F181" s="128">
        <v>102.59</v>
      </c>
      <c r="G181" s="128">
        <f>E181*F181</f>
        <v>632.9803</v>
      </c>
      <c r="H181" s="123">
        <f>I181/(1000/G181)</f>
        <v>29743.744297000005</v>
      </c>
      <c r="I181" s="160">
        <v>46990</v>
      </c>
      <c r="J181" s="125"/>
      <c r="K181" s="120"/>
    </row>
    <row r="182" spans="1:11" ht="13.5" customHeight="1">
      <c r="A182" s="17" t="s">
        <v>3</v>
      </c>
      <c r="B182" s="302" t="s">
        <v>4</v>
      </c>
      <c r="C182" s="18" t="s">
        <v>5</v>
      </c>
      <c r="D182" s="303" t="s">
        <v>6</v>
      </c>
      <c r="E182" s="20" t="s">
        <v>7</v>
      </c>
      <c r="F182" s="21" t="s">
        <v>8</v>
      </c>
      <c r="G182" s="22" t="s">
        <v>9</v>
      </c>
      <c r="H182" s="23" t="s">
        <v>10</v>
      </c>
      <c r="I182" s="306" t="s">
        <v>11</v>
      </c>
      <c r="J182" s="306"/>
      <c r="K182" s="305" t="s">
        <v>12</v>
      </c>
    </row>
    <row r="183" spans="1:11" ht="13.5" customHeight="1">
      <c r="A183" s="17"/>
      <c r="B183" s="302"/>
      <c r="C183" s="24" t="s">
        <v>13</v>
      </c>
      <c r="D183" s="303"/>
      <c r="E183" s="25" t="s">
        <v>14</v>
      </c>
      <c r="F183" s="26" t="s">
        <v>15</v>
      </c>
      <c r="G183" s="27" t="s">
        <v>15</v>
      </c>
      <c r="H183" s="28" t="s">
        <v>13</v>
      </c>
      <c r="I183" s="29" t="s">
        <v>16</v>
      </c>
      <c r="J183" s="30" t="s">
        <v>17</v>
      </c>
      <c r="K183" s="305"/>
    </row>
    <row r="184" spans="1:13" s="54" customFormat="1" ht="21" customHeight="1">
      <c r="A184" s="130"/>
      <c r="B184" s="161" t="s">
        <v>176</v>
      </c>
      <c r="C184" s="71"/>
      <c r="D184" s="162"/>
      <c r="E184" s="162"/>
      <c r="F184" s="162"/>
      <c r="G184" s="162"/>
      <c r="H184" s="162"/>
      <c r="I184" s="162"/>
      <c r="J184" s="162"/>
      <c r="K184" s="163"/>
      <c r="M184" s="54">
        <v>273</v>
      </c>
    </row>
    <row r="185" spans="1:11" s="54" customFormat="1" ht="13.5" customHeight="1" hidden="1">
      <c r="A185" s="130"/>
      <c r="B185" s="164" t="s">
        <v>177</v>
      </c>
      <c r="C185" s="40"/>
      <c r="D185" s="165" t="s">
        <v>178</v>
      </c>
      <c r="E185" s="166" t="s">
        <v>179</v>
      </c>
      <c r="F185" s="164"/>
      <c r="G185" s="165"/>
      <c r="H185" s="40"/>
      <c r="I185" s="45">
        <v>33490</v>
      </c>
      <c r="J185" s="45">
        <f>I185-240</f>
        <v>33250</v>
      </c>
      <c r="K185" s="167" t="s">
        <v>180</v>
      </c>
    </row>
    <row r="186" spans="1:11" s="57" customFormat="1" ht="13.5" customHeight="1" hidden="1">
      <c r="A186" s="132"/>
      <c r="B186" s="164" t="s">
        <v>177</v>
      </c>
      <c r="C186" s="40"/>
      <c r="D186" s="168" t="s">
        <v>178</v>
      </c>
      <c r="E186" s="165" t="s">
        <v>181</v>
      </c>
      <c r="F186" s="164"/>
      <c r="G186" s="169">
        <v>8</v>
      </c>
      <c r="H186" s="40">
        <f aca="true" t="shared" si="15" ref="H186:H198">I186/(1000/G186)</f>
        <v>227.92</v>
      </c>
      <c r="I186" s="45">
        <v>28490</v>
      </c>
      <c r="J186" s="45"/>
      <c r="K186" s="170"/>
    </row>
    <row r="187" spans="1:11" s="54" customFormat="1" ht="13.5" customHeight="1" hidden="1">
      <c r="A187" s="130"/>
      <c r="B187" s="164" t="s">
        <v>182</v>
      </c>
      <c r="C187" s="40"/>
      <c r="D187" s="168"/>
      <c r="E187" s="165" t="s">
        <v>179</v>
      </c>
      <c r="F187" s="164"/>
      <c r="G187" s="165">
        <v>13.75</v>
      </c>
      <c r="H187" s="40">
        <f t="shared" si="15"/>
        <v>481.11249999999995</v>
      </c>
      <c r="I187" s="45">
        <v>34990</v>
      </c>
      <c r="J187" s="45">
        <f>I187-240</f>
        <v>34750</v>
      </c>
      <c r="K187" s="171"/>
    </row>
    <row r="188" spans="1:11" s="54" customFormat="1" ht="13.5" customHeight="1" hidden="1">
      <c r="A188" s="130"/>
      <c r="B188" s="164" t="s">
        <v>183</v>
      </c>
      <c r="C188" s="40"/>
      <c r="D188" s="168" t="s">
        <v>184</v>
      </c>
      <c r="E188" s="165" t="s">
        <v>179</v>
      </c>
      <c r="F188" s="164"/>
      <c r="G188" s="165">
        <v>15</v>
      </c>
      <c r="H188" s="40">
        <f t="shared" si="15"/>
        <v>524.8499999999999</v>
      </c>
      <c r="I188" s="45">
        <v>34990</v>
      </c>
      <c r="J188" s="45">
        <f>I188-240</f>
        <v>34750</v>
      </c>
      <c r="K188" s="170"/>
    </row>
    <row r="189" spans="1:11" s="57" customFormat="1" ht="13.5" customHeight="1" hidden="1">
      <c r="A189" s="130"/>
      <c r="B189" s="164" t="s">
        <v>185</v>
      </c>
      <c r="C189" s="40"/>
      <c r="D189" s="168" t="s">
        <v>178</v>
      </c>
      <c r="E189" s="165" t="s">
        <v>179</v>
      </c>
      <c r="F189" s="164"/>
      <c r="G189" s="165">
        <v>17.5</v>
      </c>
      <c r="H189" s="40">
        <f t="shared" si="15"/>
        <v>594.8249999999999</v>
      </c>
      <c r="I189" s="45">
        <v>33990</v>
      </c>
      <c r="J189" s="45">
        <f>I189-240</f>
        <v>33750</v>
      </c>
      <c r="K189" s="170"/>
    </row>
    <row r="190" spans="1:11" s="54" customFormat="1" ht="13.5" customHeight="1" hidden="1">
      <c r="A190" s="130"/>
      <c r="B190" s="98" t="s">
        <v>186</v>
      </c>
      <c r="C190" s="172"/>
      <c r="D190" s="168"/>
      <c r="E190" s="173" t="s">
        <v>179</v>
      </c>
      <c r="F190" s="43"/>
      <c r="G190" s="43">
        <v>20</v>
      </c>
      <c r="H190" s="40">
        <f t="shared" si="15"/>
        <v>599.8</v>
      </c>
      <c r="I190" s="45">
        <v>29990</v>
      </c>
      <c r="J190" s="45">
        <f>I190-240</f>
        <v>29750</v>
      </c>
      <c r="K190" s="174"/>
    </row>
    <row r="191" spans="1:11" s="54" customFormat="1" ht="13.5" customHeight="1" hidden="1">
      <c r="A191" s="130"/>
      <c r="B191" s="98" t="s">
        <v>187</v>
      </c>
      <c r="C191" s="172"/>
      <c r="D191" s="168" t="s">
        <v>184</v>
      </c>
      <c r="E191" s="173" t="s">
        <v>179</v>
      </c>
      <c r="F191" s="43"/>
      <c r="G191" s="43">
        <v>22.53</v>
      </c>
      <c r="H191" s="40">
        <f t="shared" si="15"/>
        <v>765.7947</v>
      </c>
      <c r="I191" s="45">
        <v>33990</v>
      </c>
      <c r="J191" s="45">
        <f>I191-240</f>
        <v>33750</v>
      </c>
      <c r="K191" s="174"/>
    </row>
    <row r="192" spans="1:13" s="57" customFormat="1" ht="13.5" customHeight="1">
      <c r="A192" s="132"/>
      <c r="B192" s="49" t="s">
        <v>188</v>
      </c>
      <c r="C192" s="175"/>
      <c r="D192" s="168" t="s">
        <v>178</v>
      </c>
      <c r="E192" s="166" t="s">
        <v>179</v>
      </c>
      <c r="F192" s="52"/>
      <c r="G192" s="52">
        <v>25.2</v>
      </c>
      <c r="H192" s="45">
        <f t="shared" si="15"/>
        <v>2192.148</v>
      </c>
      <c r="I192" s="45">
        <v>86990</v>
      </c>
      <c r="J192" s="44"/>
      <c r="K192" s="46"/>
      <c r="L192" s="56"/>
      <c r="M192" s="57">
        <v>273</v>
      </c>
    </row>
    <row r="193" spans="1:12" s="57" customFormat="1" ht="13.5" customHeight="1" hidden="1">
      <c r="A193" s="132"/>
      <c r="B193" s="49" t="s">
        <v>189</v>
      </c>
      <c r="C193" s="50"/>
      <c r="D193" s="41" t="s">
        <v>178</v>
      </c>
      <c r="E193" s="166" t="s">
        <v>181</v>
      </c>
      <c r="F193" s="52"/>
      <c r="G193" s="52">
        <v>24.26</v>
      </c>
      <c r="H193" s="45">
        <f t="shared" si="15"/>
        <v>1055.0674000000001</v>
      </c>
      <c r="I193" s="45">
        <v>43490</v>
      </c>
      <c r="J193" s="44">
        <f>I193-240</f>
        <v>43250</v>
      </c>
      <c r="K193" s="70"/>
      <c r="L193" s="56"/>
    </row>
    <row r="194" spans="1:13" s="57" customFormat="1" ht="13.5" customHeight="1">
      <c r="A194" s="132"/>
      <c r="B194" s="49" t="s">
        <v>189</v>
      </c>
      <c r="C194" s="50"/>
      <c r="D194" s="41" t="s">
        <v>178</v>
      </c>
      <c r="E194" s="166" t="s">
        <v>179</v>
      </c>
      <c r="F194" s="52"/>
      <c r="G194" s="52">
        <v>38.1</v>
      </c>
      <c r="H194" s="45">
        <f t="shared" si="15"/>
        <v>3238.1189999999997</v>
      </c>
      <c r="I194" s="45">
        <v>84990</v>
      </c>
      <c r="J194" s="44"/>
      <c r="K194" s="46"/>
      <c r="L194" s="56"/>
      <c r="M194" s="57">
        <v>273</v>
      </c>
    </row>
    <row r="195" spans="1:12" s="89" customFormat="1" ht="13.5" customHeight="1" hidden="1">
      <c r="A195" s="130"/>
      <c r="B195" s="85" t="s">
        <v>190</v>
      </c>
      <c r="C195" s="61"/>
      <c r="D195" s="62" t="s">
        <v>178</v>
      </c>
      <c r="E195" s="176" t="s">
        <v>181</v>
      </c>
      <c r="F195" s="64"/>
      <c r="G195" s="64">
        <v>32</v>
      </c>
      <c r="H195" s="97">
        <f t="shared" si="15"/>
        <v>1279.68</v>
      </c>
      <c r="I195" s="66">
        <v>39990</v>
      </c>
      <c r="J195" s="97"/>
      <c r="K195" s="87"/>
      <c r="L195" s="177"/>
    </row>
    <row r="196" spans="1:12" s="57" customFormat="1" ht="13.5" customHeight="1" hidden="1">
      <c r="A196" s="132"/>
      <c r="B196" s="49" t="s">
        <v>190</v>
      </c>
      <c r="C196" s="50"/>
      <c r="D196" s="41" t="s">
        <v>178</v>
      </c>
      <c r="E196" s="166" t="s">
        <v>179</v>
      </c>
      <c r="F196" s="52"/>
      <c r="G196" s="52">
        <v>51</v>
      </c>
      <c r="H196" s="44">
        <f t="shared" si="15"/>
        <v>4410.99</v>
      </c>
      <c r="I196" s="45">
        <v>86490</v>
      </c>
      <c r="J196" s="44"/>
      <c r="K196" s="69"/>
      <c r="L196" s="56"/>
    </row>
    <row r="197" spans="1:11" s="54" customFormat="1" ht="13.5" customHeight="1" hidden="1">
      <c r="A197" s="130"/>
      <c r="B197" s="98" t="s">
        <v>191</v>
      </c>
      <c r="C197" s="92">
        <v>25</v>
      </c>
      <c r="D197" s="42" t="s">
        <v>178</v>
      </c>
      <c r="E197" s="173" t="s">
        <v>179</v>
      </c>
      <c r="F197" s="43"/>
      <c r="G197" s="43">
        <v>62.58</v>
      </c>
      <c r="H197" s="40">
        <f t="shared" si="15"/>
        <v>2690.3142000000003</v>
      </c>
      <c r="I197" s="45">
        <v>42990</v>
      </c>
      <c r="J197" s="44">
        <f>I197-240</f>
        <v>42750</v>
      </c>
      <c r="K197" s="178"/>
    </row>
    <row r="198" spans="1:11" s="181" customFormat="1" ht="13.5" customHeight="1" hidden="1">
      <c r="A198" s="130"/>
      <c r="B198" s="118" t="s">
        <v>192</v>
      </c>
      <c r="C198" s="119">
        <v>30</v>
      </c>
      <c r="D198" s="127" t="s">
        <v>178</v>
      </c>
      <c r="E198" s="179" t="s">
        <v>179</v>
      </c>
      <c r="F198" s="128"/>
      <c r="G198" s="128">
        <v>76.32</v>
      </c>
      <c r="H198" s="180">
        <f t="shared" si="15"/>
        <v>3280.9967999999994</v>
      </c>
      <c r="I198" s="45">
        <v>42990</v>
      </c>
      <c r="J198" s="44">
        <f>I198-240</f>
        <v>42750</v>
      </c>
      <c r="K198" s="131"/>
    </row>
    <row r="199" spans="1:13" s="54" customFormat="1" ht="21" customHeight="1">
      <c r="A199" s="130"/>
      <c r="B199" s="31" t="s">
        <v>193</v>
      </c>
      <c r="C199" s="71"/>
      <c r="D199" s="34"/>
      <c r="E199" s="34"/>
      <c r="F199" s="34"/>
      <c r="G199" s="34"/>
      <c r="H199" s="34"/>
      <c r="I199" s="34"/>
      <c r="J199" s="34"/>
      <c r="K199" s="72"/>
      <c r="M199" s="54">
        <v>274</v>
      </c>
    </row>
    <row r="200" spans="1:11" s="54" customFormat="1" ht="13.5" customHeight="1" hidden="1">
      <c r="A200" s="130"/>
      <c r="B200" s="49" t="s">
        <v>194</v>
      </c>
      <c r="C200" s="50"/>
      <c r="D200" s="41" t="s">
        <v>178</v>
      </c>
      <c r="E200" s="166" t="s">
        <v>179</v>
      </c>
      <c r="F200" s="52"/>
      <c r="G200" s="52">
        <v>38</v>
      </c>
      <c r="H200" s="45">
        <f aca="true" t="shared" si="16" ref="H200:H231">I200/(1000/G200)</f>
        <v>1139.6200000000001</v>
      </c>
      <c r="I200" s="45">
        <v>29990</v>
      </c>
      <c r="J200" s="44"/>
      <c r="K200" s="174"/>
    </row>
    <row r="201" spans="1:11" s="54" customFormat="1" ht="13.5" customHeight="1" hidden="1">
      <c r="A201" s="130"/>
      <c r="B201" s="49" t="s">
        <v>195</v>
      </c>
      <c r="C201" s="50"/>
      <c r="D201" s="41"/>
      <c r="E201" s="166" t="s">
        <v>179</v>
      </c>
      <c r="F201" s="52"/>
      <c r="G201" s="182">
        <v>45</v>
      </c>
      <c r="H201" s="45">
        <f t="shared" si="16"/>
        <v>1304.55</v>
      </c>
      <c r="I201" s="45">
        <v>28990</v>
      </c>
      <c r="J201" s="44"/>
      <c r="K201" s="46"/>
    </row>
    <row r="202" spans="1:11" s="59" customFormat="1" ht="13.5" customHeight="1" hidden="1">
      <c r="A202" s="159"/>
      <c r="B202" s="49" t="s">
        <v>196</v>
      </c>
      <c r="C202" s="50"/>
      <c r="D202" s="41" t="s">
        <v>197</v>
      </c>
      <c r="E202" s="183" t="s">
        <v>181</v>
      </c>
      <c r="F202" s="52"/>
      <c r="G202" s="182">
        <v>32</v>
      </c>
      <c r="H202" s="45">
        <f t="shared" si="16"/>
        <v>1279.68</v>
      </c>
      <c r="I202" s="45">
        <v>39990</v>
      </c>
      <c r="J202" s="44"/>
      <c r="K202" s="69"/>
    </row>
    <row r="203" spans="1:13" s="59" customFormat="1" ht="13.5" customHeight="1">
      <c r="A203" s="159"/>
      <c r="B203" s="49" t="s">
        <v>196</v>
      </c>
      <c r="C203" s="50"/>
      <c r="D203" s="41" t="s">
        <v>197</v>
      </c>
      <c r="E203" s="183" t="s">
        <v>179</v>
      </c>
      <c r="F203" s="52"/>
      <c r="G203" s="184">
        <v>51.3</v>
      </c>
      <c r="H203" s="45">
        <f t="shared" si="16"/>
        <v>3693.087</v>
      </c>
      <c r="I203" s="45">
        <v>71990</v>
      </c>
      <c r="J203" s="44"/>
      <c r="K203" s="69"/>
      <c r="L203" s="185"/>
      <c r="M203" s="59">
        <v>274</v>
      </c>
    </row>
    <row r="204" spans="1:12" s="54" customFormat="1" ht="13.5" customHeight="1" hidden="1">
      <c r="A204" s="130"/>
      <c r="B204" s="49" t="s">
        <v>198</v>
      </c>
      <c r="C204" s="50"/>
      <c r="D204" s="41"/>
      <c r="E204" s="166" t="s">
        <v>179</v>
      </c>
      <c r="F204" s="52"/>
      <c r="G204" s="182">
        <v>65</v>
      </c>
      <c r="H204" s="45">
        <f t="shared" si="16"/>
        <v>2729.35</v>
      </c>
      <c r="I204" s="45">
        <v>41990</v>
      </c>
      <c r="J204" s="44"/>
      <c r="K204" s="114"/>
      <c r="L204" s="186"/>
    </row>
    <row r="205" spans="1:12" s="54" customFormat="1" ht="13.5" customHeight="1" hidden="1">
      <c r="A205" s="130"/>
      <c r="B205" s="49" t="s">
        <v>199</v>
      </c>
      <c r="C205" s="50"/>
      <c r="D205" s="41" t="s">
        <v>200</v>
      </c>
      <c r="E205" s="166" t="s">
        <v>181</v>
      </c>
      <c r="F205" s="52"/>
      <c r="G205" s="182">
        <v>48</v>
      </c>
      <c r="H205" s="44">
        <f t="shared" si="16"/>
        <v>2015.5200000000002</v>
      </c>
      <c r="I205" s="45">
        <v>41990</v>
      </c>
      <c r="J205" s="44"/>
      <c r="K205" s="114"/>
      <c r="L205" s="186"/>
    </row>
    <row r="206" spans="1:13" s="57" customFormat="1" ht="13.5" customHeight="1">
      <c r="A206" s="132"/>
      <c r="B206" s="49" t="s">
        <v>199</v>
      </c>
      <c r="C206" s="50"/>
      <c r="D206" s="41" t="s">
        <v>200</v>
      </c>
      <c r="E206" s="166" t="s">
        <v>179</v>
      </c>
      <c r="F206" s="52"/>
      <c r="G206" s="182">
        <v>77</v>
      </c>
      <c r="H206" s="44">
        <f t="shared" si="16"/>
        <v>5620.2300000000005</v>
      </c>
      <c r="I206" s="45">
        <v>72990</v>
      </c>
      <c r="J206" s="44"/>
      <c r="K206" s="46"/>
      <c r="L206" s="186"/>
      <c r="M206" s="57">
        <v>274</v>
      </c>
    </row>
    <row r="207" spans="1:13" s="89" customFormat="1" ht="13.5" customHeight="1">
      <c r="A207" s="130"/>
      <c r="B207" s="85" t="s">
        <v>199</v>
      </c>
      <c r="C207" s="61"/>
      <c r="D207" s="62" t="s">
        <v>200</v>
      </c>
      <c r="E207" s="176" t="s">
        <v>201</v>
      </c>
      <c r="F207" s="64"/>
      <c r="G207" s="187">
        <v>109</v>
      </c>
      <c r="H207" s="97">
        <f t="shared" si="16"/>
        <v>7683.41</v>
      </c>
      <c r="I207" s="66">
        <v>70490</v>
      </c>
      <c r="J207" s="97"/>
      <c r="K207" s="67"/>
      <c r="L207" s="188"/>
      <c r="M207" s="89">
        <v>274</v>
      </c>
    </row>
    <row r="208" spans="1:13" s="57" customFormat="1" ht="13.5" customHeight="1">
      <c r="A208" s="132"/>
      <c r="B208" s="49" t="s">
        <v>199</v>
      </c>
      <c r="C208" s="50"/>
      <c r="D208" s="41" t="s">
        <v>200</v>
      </c>
      <c r="E208" s="166" t="s">
        <v>202</v>
      </c>
      <c r="F208" s="52"/>
      <c r="G208" s="182">
        <v>216</v>
      </c>
      <c r="H208" s="44">
        <f t="shared" si="16"/>
        <v>15765.84</v>
      </c>
      <c r="I208" s="45">
        <v>72990</v>
      </c>
      <c r="J208" s="44"/>
      <c r="K208" s="114"/>
      <c r="L208" s="186"/>
      <c r="M208" s="57">
        <v>274</v>
      </c>
    </row>
    <row r="209" spans="1:12" s="57" customFormat="1" ht="13.5" customHeight="1" hidden="1">
      <c r="A209" s="132"/>
      <c r="B209" s="49" t="s">
        <v>203</v>
      </c>
      <c r="C209" s="50"/>
      <c r="D209" s="41"/>
      <c r="E209" s="166" t="s">
        <v>201</v>
      </c>
      <c r="F209" s="52"/>
      <c r="G209" s="182">
        <v>144</v>
      </c>
      <c r="H209" s="45">
        <f t="shared" si="16"/>
        <v>10510.56</v>
      </c>
      <c r="I209" s="45">
        <v>72990</v>
      </c>
      <c r="J209" s="44"/>
      <c r="K209" s="142"/>
      <c r="L209" s="186"/>
    </row>
    <row r="210" spans="1:13" s="57" customFormat="1" ht="13.5" customHeight="1">
      <c r="A210" s="132"/>
      <c r="B210" s="49" t="s">
        <v>203</v>
      </c>
      <c r="C210" s="50">
        <v>80</v>
      </c>
      <c r="D210" s="41"/>
      <c r="E210" s="166" t="s">
        <v>202</v>
      </c>
      <c r="F210" s="52"/>
      <c r="G210" s="182">
        <v>288</v>
      </c>
      <c r="H210" s="45">
        <f t="shared" si="16"/>
        <v>20877.12</v>
      </c>
      <c r="I210" s="45">
        <v>72490</v>
      </c>
      <c r="J210" s="44"/>
      <c r="K210" s="69"/>
      <c r="L210" s="186"/>
      <c r="M210" s="57">
        <v>274</v>
      </c>
    </row>
    <row r="211" spans="1:12" s="57" customFormat="1" ht="13.5" customHeight="1" hidden="1">
      <c r="A211" s="132"/>
      <c r="B211" s="49" t="s">
        <v>204</v>
      </c>
      <c r="C211" s="50">
        <v>50</v>
      </c>
      <c r="D211" s="41" t="s">
        <v>200</v>
      </c>
      <c r="E211" s="166" t="s">
        <v>205</v>
      </c>
      <c r="F211" s="52"/>
      <c r="G211" s="184">
        <v>312.3</v>
      </c>
      <c r="H211" s="44">
        <f t="shared" si="16"/>
        <v>22794.777000000002</v>
      </c>
      <c r="I211" s="45">
        <v>72990</v>
      </c>
      <c r="J211" s="44"/>
      <c r="K211" s="69"/>
      <c r="L211" s="186"/>
    </row>
    <row r="212" spans="1:13" s="57" customFormat="1" ht="13.5" customHeight="1">
      <c r="A212" s="132"/>
      <c r="B212" s="49" t="s">
        <v>204</v>
      </c>
      <c r="C212" s="50">
        <v>100</v>
      </c>
      <c r="D212" s="41" t="s">
        <v>200</v>
      </c>
      <c r="E212" s="166" t="s">
        <v>202</v>
      </c>
      <c r="F212" s="52"/>
      <c r="G212" s="189">
        <v>360</v>
      </c>
      <c r="H212" s="44">
        <f t="shared" si="16"/>
        <v>26096.4</v>
      </c>
      <c r="I212" s="45">
        <v>72490</v>
      </c>
      <c r="J212" s="44"/>
      <c r="K212" s="69"/>
      <c r="L212" s="186"/>
      <c r="M212" s="57">
        <v>274</v>
      </c>
    </row>
    <row r="213" spans="1:12" s="89" customFormat="1" ht="13.5" customHeight="1" hidden="1">
      <c r="A213" s="130"/>
      <c r="B213" s="85" t="s">
        <v>206</v>
      </c>
      <c r="C213" s="61">
        <v>90</v>
      </c>
      <c r="D213" s="62" t="s">
        <v>200</v>
      </c>
      <c r="E213" s="176" t="s">
        <v>201</v>
      </c>
      <c r="F213" s="64"/>
      <c r="G213" s="187">
        <v>215</v>
      </c>
      <c r="H213" s="97">
        <f t="shared" si="16"/>
        <v>15585.349999999999</v>
      </c>
      <c r="I213" s="45">
        <v>72490</v>
      </c>
      <c r="J213" s="97"/>
      <c r="K213" s="104"/>
      <c r="L213" s="188"/>
    </row>
    <row r="214" spans="1:13" s="57" customFormat="1" ht="13.5" customHeight="1">
      <c r="A214" s="132"/>
      <c r="B214" s="49" t="s">
        <v>206</v>
      </c>
      <c r="C214" s="50">
        <v>120</v>
      </c>
      <c r="D214" s="41" t="s">
        <v>200</v>
      </c>
      <c r="E214" s="166" t="s">
        <v>202</v>
      </c>
      <c r="F214" s="52"/>
      <c r="G214" s="182">
        <v>436</v>
      </c>
      <c r="H214" s="44">
        <f t="shared" si="16"/>
        <v>31605.64</v>
      </c>
      <c r="I214" s="45">
        <v>72490</v>
      </c>
      <c r="J214" s="44"/>
      <c r="K214" s="69"/>
      <c r="L214" s="186"/>
      <c r="M214" s="57">
        <v>274</v>
      </c>
    </row>
    <row r="215" spans="1:12" s="57" customFormat="1" ht="13.5" customHeight="1" hidden="1">
      <c r="A215" s="132"/>
      <c r="B215" s="49" t="s">
        <v>207</v>
      </c>
      <c r="C215" s="50">
        <v>120</v>
      </c>
      <c r="D215" s="41" t="s">
        <v>200</v>
      </c>
      <c r="E215" s="190" t="s">
        <v>201</v>
      </c>
      <c r="F215" s="52"/>
      <c r="G215" s="184">
        <v>288.5</v>
      </c>
      <c r="H215" s="44">
        <f t="shared" si="16"/>
        <v>20913.364999999998</v>
      </c>
      <c r="I215" s="45">
        <v>72490</v>
      </c>
      <c r="J215" s="44"/>
      <c r="K215" s="46"/>
      <c r="L215" s="186"/>
    </row>
    <row r="216" spans="1:13" s="57" customFormat="1" ht="13.5" customHeight="1">
      <c r="A216" s="132"/>
      <c r="B216" s="49" t="s">
        <v>207</v>
      </c>
      <c r="C216" s="50">
        <v>160</v>
      </c>
      <c r="D216" s="41" t="s">
        <v>200</v>
      </c>
      <c r="E216" s="166" t="s">
        <v>202</v>
      </c>
      <c r="F216" s="52"/>
      <c r="G216" s="182">
        <v>577</v>
      </c>
      <c r="H216" s="44">
        <f t="shared" si="16"/>
        <v>41826.729999999996</v>
      </c>
      <c r="I216" s="45">
        <v>72490</v>
      </c>
      <c r="J216" s="44"/>
      <c r="K216" s="69"/>
      <c r="L216" s="186"/>
      <c r="M216" s="57">
        <v>274</v>
      </c>
    </row>
    <row r="217" spans="1:13" s="192" customFormat="1" ht="13.5" customHeight="1">
      <c r="A217" s="132"/>
      <c r="B217" s="49" t="s">
        <v>208</v>
      </c>
      <c r="C217" s="50">
        <v>200</v>
      </c>
      <c r="D217" s="41" t="s">
        <v>200</v>
      </c>
      <c r="E217" s="166" t="s">
        <v>202</v>
      </c>
      <c r="F217" s="52"/>
      <c r="G217" s="182">
        <v>721</v>
      </c>
      <c r="H217" s="44">
        <f t="shared" si="16"/>
        <v>52265.29</v>
      </c>
      <c r="I217" s="45">
        <v>72490</v>
      </c>
      <c r="J217" s="44"/>
      <c r="K217" s="69"/>
      <c r="L217" s="191"/>
      <c r="M217" s="192">
        <v>274</v>
      </c>
    </row>
    <row r="218" spans="1:12" s="192" customFormat="1" ht="13.5" customHeight="1" hidden="1">
      <c r="A218" s="132"/>
      <c r="B218" s="49" t="s">
        <v>208</v>
      </c>
      <c r="C218" s="50">
        <v>130</v>
      </c>
      <c r="D218" s="41" t="s">
        <v>200</v>
      </c>
      <c r="E218" s="166" t="s">
        <v>209</v>
      </c>
      <c r="F218" s="52"/>
      <c r="G218" s="182">
        <v>942</v>
      </c>
      <c r="H218" s="44">
        <f t="shared" si="16"/>
        <v>73466.58</v>
      </c>
      <c r="I218" s="45">
        <v>77990</v>
      </c>
      <c r="J218" s="44">
        <f>I218-240</f>
        <v>77750</v>
      </c>
      <c r="K218" s="69"/>
      <c r="L218" s="191"/>
    </row>
    <row r="219" spans="1:12" s="192" customFormat="1" ht="13.5" customHeight="1" hidden="1">
      <c r="A219" s="132"/>
      <c r="B219" s="49" t="s">
        <v>208</v>
      </c>
      <c r="C219" s="50">
        <v>100</v>
      </c>
      <c r="D219" s="41" t="s">
        <v>200</v>
      </c>
      <c r="E219" s="166" t="s">
        <v>210</v>
      </c>
      <c r="F219" s="52"/>
      <c r="G219" s="182">
        <v>865</v>
      </c>
      <c r="H219" s="44">
        <f t="shared" si="16"/>
        <v>67461.34999999999</v>
      </c>
      <c r="I219" s="45">
        <v>77990</v>
      </c>
      <c r="J219" s="44">
        <f>I219-240</f>
        <v>77750</v>
      </c>
      <c r="K219" s="142"/>
      <c r="L219" s="191"/>
    </row>
    <row r="220" spans="1:251" s="192" customFormat="1" ht="13.5" customHeight="1">
      <c r="A220" s="132"/>
      <c r="B220" s="49" t="s">
        <v>211</v>
      </c>
      <c r="C220" s="50">
        <v>220</v>
      </c>
      <c r="D220" s="41" t="s">
        <v>200</v>
      </c>
      <c r="E220" s="166" t="s">
        <v>202</v>
      </c>
      <c r="F220" s="52"/>
      <c r="G220" s="182">
        <v>865</v>
      </c>
      <c r="H220" s="44">
        <f t="shared" si="16"/>
        <v>62703.85</v>
      </c>
      <c r="I220" s="45">
        <v>72490</v>
      </c>
      <c r="J220" s="44"/>
      <c r="K220" s="46"/>
      <c r="L220" s="191"/>
      <c r="M220" s="192">
        <v>274</v>
      </c>
      <c r="GL220" s="193"/>
      <c r="GM220" s="193"/>
      <c r="GN220" s="193"/>
      <c r="GO220" s="193"/>
      <c r="GP220" s="193"/>
      <c r="GQ220" s="193"/>
      <c r="GR220" s="193"/>
      <c r="GS220" s="193"/>
      <c r="GT220" s="193"/>
      <c r="GU220" s="193"/>
      <c r="GV220" s="193"/>
      <c r="GW220" s="193"/>
      <c r="GX220" s="193"/>
      <c r="GY220" s="193"/>
      <c r="GZ220" s="193"/>
      <c r="HA220" s="193"/>
      <c r="HB220" s="193"/>
      <c r="HC220" s="193"/>
      <c r="HD220" s="193"/>
      <c r="HE220" s="193"/>
      <c r="HF220" s="193"/>
      <c r="HG220" s="193"/>
      <c r="HH220" s="193"/>
      <c r="HI220" s="193"/>
      <c r="HJ220" s="193"/>
      <c r="HK220" s="193"/>
      <c r="HL220" s="193"/>
      <c r="HM220" s="193"/>
      <c r="HN220" s="193"/>
      <c r="HO220" s="193"/>
      <c r="HP220" s="193"/>
      <c r="HQ220" s="193"/>
      <c r="HR220" s="193"/>
      <c r="HS220" s="193"/>
      <c r="HT220" s="193"/>
      <c r="HU220" s="193"/>
      <c r="HV220" s="193"/>
      <c r="HW220" s="193"/>
      <c r="HX220" s="193"/>
      <c r="HY220" s="193"/>
      <c r="HZ220" s="193"/>
      <c r="IA220" s="193"/>
      <c r="IB220" s="193"/>
      <c r="IC220" s="193"/>
      <c r="ID220" s="193"/>
      <c r="IE220" s="193"/>
      <c r="IF220" s="193"/>
      <c r="IG220" s="193"/>
      <c r="IH220" s="193"/>
      <c r="II220" s="193"/>
      <c r="IJ220" s="193"/>
      <c r="IK220" s="193"/>
      <c r="IL220" s="193"/>
      <c r="IM220" s="193"/>
      <c r="IN220" s="193"/>
      <c r="IO220" s="193"/>
      <c r="IP220" s="193"/>
      <c r="IQ220" s="193"/>
    </row>
    <row r="221" spans="1:251" s="192" customFormat="1" ht="13.5" customHeight="1" hidden="1">
      <c r="A221" s="132"/>
      <c r="B221" s="49" t="s">
        <v>211</v>
      </c>
      <c r="C221" s="50">
        <v>160</v>
      </c>
      <c r="D221" s="41" t="s">
        <v>200</v>
      </c>
      <c r="E221" s="166" t="s">
        <v>209</v>
      </c>
      <c r="F221" s="52"/>
      <c r="G221" s="44">
        <v>1153</v>
      </c>
      <c r="H221" s="44">
        <f t="shared" si="16"/>
        <v>89922.47</v>
      </c>
      <c r="I221" s="45">
        <v>77990</v>
      </c>
      <c r="J221" s="44">
        <f>I221-240</f>
        <v>77750</v>
      </c>
      <c r="K221" s="142"/>
      <c r="L221" s="191"/>
      <c r="GL221" s="193"/>
      <c r="GM221" s="193"/>
      <c r="GN221" s="193"/>
      <c r="GO221" s="193"/>
      <c r="GP221" s="193"/>
      <c r="GQ221" s="193"/>
      <c r="GR221" s="193"/>
      <c r="GS221" s="193"/>
      <c r="GT221" s="193"/>
      <c r="GU221" s="193"/>
      <c r="GV221" s="193"/>
      <c r="GW221" s="193"/>
      <c r="GX221" s="193"/>
      <c r="GY221" s="193"/>
      <c r="GZ221" s="193"/>
      <c r="HA221" s="193"/>
      <c r="HB221" s="193"/>
      <c r="HC221" s="193"/>
      <c r="HD221" s="193"/>
      <c r="HE221" s="193"/>
      <c r="HF221" s="193"/>
      <c r="HG221" s="193"/>
      <c r="HH221" s="193"/>
      <c r="HI221" s="193"/>
      <c r="HJ221" s="193"/>
      <c r="HK221" s="193"/>
      <c r="HL221" s="193"/>
      <c r="HM221" s="193"/>
      <c r="HN221" s="193"/>
      <c r="HO221" s="193"/>
      <c r="HP221" s="193"/>
      <c r="HQ221" s="193"/>
      <c r="HR221" s="193"/>
      <c r="HS221" s="193"/>
      <c r="HT221" s="193"/>
      <c r="HU221" s="193"/>
      <c r="HV221" s="193"/>
      <c r="HW221" s="193"/>
      <c r="HX221" s="193"/>
      <c r="HY221" s="193"/>
      <c r="HZ221" s="193"/>
      <c r="IA221" s="193"/>
      <c r="IB221" s="193"/>
      <c r="IC221" s="193"/>
      <c r="ID221" s="193"/>
      <c r="IE221" s="193"/>
      <c r="IF221" s="193"/>
      <c r="IG221" s="193"/>
      <c r="IH221" s="193"/>
      <c r="II221" s="193"/>
      <c r="IJ221" s="193"/>
      <c r="IK221" s="193"/>
      <c r="IL221" s="193"/>
      <c r="IM221" s="193"/>
      <c r="IN221" s="193"/>
      <c r="IO221" s="193"/>
      <c r="IP221" s="193"/>
      <c r="IQ221" s="193"/>
    </row>
    <row r="222" spans="1:251" s="192" customFormat="1" ht="13.5" customHeight="1">
      <c r="A222" s="130"/>
      <c r="B222" s="49" t="s">
        <v>212</v>
      </c>
      <c r="C222" s="50">
        <v>230</v>
      </c>
      <c r="D222" s="41" t="s">
        <v>200</v>
      </c>
      <c r="E222" s="166" t="s">
        <v>202</v>
      </c>
      <c r="F222" s="52"/>
      <c r="G222" s="44">
        <v>1009</v>
      </c>
      <c r="H222" s="44">
        <f t="shared" si="16"/>
        <v>78691.91</v>
      </c>
      <c r="I222" s="45">
        <v>77990</v>
      </c>
      <c r="J222" s="44"/>
      <c r="K222" s="142"/>
      <c r="L222" s="191"/>
      <c r="M222" s="192">
        <v>274</v>
      </c>
      <c r="GL222" s="193"/>
      <c r="GM222" s="193"/>
      <c r="GN222" s="193"/>
      <c r="GO222" s="193"/>
      <c r="GP222" s="193"/>
      <c r="GQ222" s="193"/>
      <c r="GR222" s="193"/>
      <c r="GS222" s="193"/>
      <c r="GT222" s="193"/>
      <c r="GU222" s="193"/>
      <c r="GV222" s="193"/>
      <c r="GW222" s="193"/>
      <c r="GX222" s="193"/>
      <c r="GY222" s="193"/>
      <c r="GZ222" s="193"/>
      <c r="HA222" s="193"/>
      <c r="HB222" s="193"/>
      <c r="HC222" s="193"/>
      <c r="HD222" s="193"/>
      <c r="HE222" s="193"/>
      <c r="HF222" s="193"/>
      <c r="HG222" s="193"/>
      <c r="HH222" s="193"/>
      <c r="HI222" s="193"/>
      <c r="HJ222" s="193"/>
      <c r="HK222" s="193"/>
      <c r="HL222" s="193"/>
      <c r="HM222" s="193"/>
      <c r="HN222" s="193"/>
      <c r="HO222" s="193"/>
      <c r="HP222" s="193"/>
      <c r="HQ222" s="193"/>
      <c r="HR222" s="193"/>
      <c r="HS222" s="193"/>
      <c r="HT222" s="193"/>
      <c r="HU222" s="193"/>
      <c r="HV222" s="193"/>
      <c r="HW222" s="193"/>
      <c r="HX222" s="193"/>
      <c r="HY222" s="193"/>
      <c r="HZ222" s="193"/>
      <c r="IA222" s="193"/>
      <c r="IB222" s="193"/>
      <c r="IC222" s="193"/>
      <c r="ID222" s="193"/>
      <c r="IE222" s="193"/>
      <c r="IF222" s="193"/>
      <c r="IG222" s="193"/>
      <c r="IH222" s="193"/>
      <c r="II222" s="193"/>
      <c r="IJ222" s="193"/>
      <c r="IK222" s="193"/>
      <c r="IL222" s="193"/>
      <c r="IM222" s="193"/>
      <c r="IN222" s="193"/>
      <c r="IO222" s="193"/>
      <c r="IP222" s="193"/>
      <c r="IQ222" s="193"/>
    </row>
    <row r="223" spans="1:251" s="192" customFormat="1" ht="13.5" customHeight="1" hidden="1">
      <c r="A223" s="130"/>
      <c r="B223" s="49" t="s">
        <v>212</v>
      </c>
      <c r="C223" s="50">
        <v>240</v>
      </c>
      <c r="D223" s="41" t="s">
        <v>200</v>
      </c>
      <c r="E223" s="166" t="s">
        <v>209</v>
      </c>
      <c r="F223" s="52"/>
      <c r="G223" s="44">
        <v>1320</v>
      </c>
      <c r="H223" s="44">
        <f t="shared" si="16"/>
        <v>146506.8</v>
      </c>
      <c r="I223" s="45">
        <v>110990</v>
      </c>
      <c r="J223" s="44"/>
      <c r="K223" s="142"/>
      <c r="L223" s="191"/>
      <c r="GL223" s="193"/>
      <c r="GM223" s="193"/>
      <c r="GN223" s="193"/>
      <c r="GO223" s="193"/>
      <c r="GP223" s="193"/>
      <c r="GQ223" s="193"/>
      <c r="GR223" s="193"/>
      <c r="GS223" s="193"/>
      <c r="GT223" s="193"/>
      <c r="GU223" s="193"/>
      <c r="GV223" s="193"/>
      <c r="GW223" s="193"/>
      <c r="GX223" s="193"/>
      <c r="GY223" s="193"/>
      <c r="GZ223" s="193"/>
      <c r="HA223" s="193"/>
      <c r="HB223" s="193"/>
      <c r="HC223" s="193"/>
      <c r="HD223" s="193"/>
      <c r="HE223" s="193"/>
      <c r="HF223" s="193"/>
      <c r="HG223" s="193"/>
      <c r="HH223" s="193"/>
      <c r="HI223" s="193"/>
      <c r="HJ223" s="193"/>
      <c r="HK223" s="193"/>
      <c r="HL223" s="193"/>
      <c r="HM223" s="193"/>
      <c r="HN223" s="193"/>
      <c r="HO223" s="193"/>
      <c r="HP223" s="193"/>
      <c r="HQ223" s="193"/>
      <c r="HR223" s="193"/>
      <c r="HS223" s="193"/>
      <c r="HT223" s="193"/>
      <c r="HU223" s="193"/>
      <c r="HV223" s="193"/>
      <c r="HW223" s="193"/>
      <c r="HX223" s="193"/>
      <c r="HY223" s="193"/>
      <c r="HZ223" s="193"/>
      <c r="IA223" s="193"/>
      <c r="IB223" s="193"/>
      <c r="IC223" s="193"/>
      <c r="ID223" s="193"/>
      <c r="IE223" s="193"/>
      <c r="IF223" s="193"/>
      <c r="IG223" s="193"/>
      <c r="IH223" s="193"/>
      <c r="II223" s="193"/>
      <c r="IJ223" s="193"/>
      <c r="IK223" s="193"/>
      <c r="IL223" s="193"/>
      <c r="IM223" s="193"/>
      <c r="IN223" s="193"/>
      <c r="IO223" s="193"/>
      <c r="IP223" s="193"/>
      <c r="IQ223" s="193"/>
    </row>
    <row r="224" spans="1:13" s="54" customFormat="1" ht="13.5" customHeight="1">
      <c r="A224" s="130"/>
      <c r="B224" s="49" t="s">
        <v>213</v>
      </c>
      <c r="C224" s="50">
        <v>245</v>
      </c>
      <c r="D224" s="41"/>
      <c r="E224" s="166" t="s">
        <v>202</v>
      </c>
      <c r="F224" s="52"/>
      <c r="G224" s="44">
        <v>1152</v>
      </c>
      <c r="H224" s="45">
        <f t="shared" si="16"/>
        <v>83508.48</v>
      </c>
      <c r="I224" s="45">
        <v>72490</v>
      </c>
      <c r="J224" s="44"/>
      <c r="K224" s="69"/>
      <c r="L224" s="186"/>
      <c r="M224" s="54">
        <v>274</v>
      </c>
    </row>
    <row r="225" spans="1:12" s="54" customFormat="1" ht="13.5" customHeight="1" hidden="1">
      <c r="A225" s="130"/>
      <c r="B225" s="49" t="s">
        <v>213</v>
      </c>
      <c r="C225" s="50">
        <v>200</v>
      </c>
      <c r="D225" s="41"/>
      <c r="E225" s="194" t="s">
        <v>209</v>
      </c>
      <c r="F225" s="52"/>
      <c r="G225" s="44">
        <v>1537</v>
      </c>
      <c r="H225" s="45">
        <f t="shared" si="16"/>
        <v>159064.13</v>
      </c>
      <c r="I225" s="45">
        <v>103490</v>
      </c>
      <c r="J225" s="44"/>
      <c r="K225" s="195"/>
      <c r="L225" s="186"/>
    </row>
    <row r="226" spans="1:13" s="192" customFormat="1" ht="13.5" customHeight="1">
      <c r="A226" s="132"/>
      <c r="B226" s="49" t="s">
        <v>214</v>
      </c>
      <c r="C226" s="50">
        <v>260</v>
      </c>
      <c r="D226" s="41" t="s">
        <v>200</v>
      </c>
      <c r="E226" s="166" t="s">
        <v>202</v>
      </c>
      <c r="F226" s="52"/>
      <c r="G226" s="44">
        <v>1440</v>
      </c>
      <c r="H226" s="44">
        <f t="shared" si="16"/>
        <v>119505.6</v>
      </c>
      <c r="I226" s="45">
        <v>82990</v>
      </c>
      <c r="J226" s="44"/>
      <c r="K226" s="69"/>
      <c r="L226" s="191"/>
      <c r="M226" s="192">
        <v>274</v>
      </c>
    </row>
    <row r="227" spans="1:12" s="37" customFormat="1" ht="13.5" customHeight="1" hidden="1">
      <c r="A227" s="130"/>
      <c r="B227" s="49" t="s">
        <v>214</v>
      </c>
      <c r="C227" s="50">
        <v>250</v>
      </c>
      <c r="D227" s="41" t="s">
        <v>200</v>
      </c>
      <c r="E227" s="166" t="s">
        <v>209</v>
      </c>
      <c r="F227" s="52"/>
      <c r="G227" s="44">
        <v>1922</v>
      </c>
      <c r="H227" s="44">
        <f t="shared" si="16"/>
        <v>183531.78000000003</v>
      </c>
      <c r="I227" s="45">
        <v>95490</v>
      </c>
      <c r="J227" s="44"/>
      <c r="K227" s="69"/>
      <c r="L227" s="191"/>
    </row>
    <row r="228" spans="1:13" s="37" customFormat="1" ht="13.5" customHeight="1">
      <c r="A228" s="130"/>
      <c r="B228" s="49" t="s">
        <v>215</v>
      </c>
      <c r="C228" s="50">
        <v>320</v>
      </c>
      <c r="D228" s="41"/>
      <c r="E228" s="166" t="s">
        <v>202</v>
      </c>
      <c r="F228" s="52"/>
      <c r="G228" s="44">
        <v>1785</v>
      </c>
      <c r="H228" s="44">
        <f t="shared" si="16"/>
        <v>151707.15</v>
      </c>
      <c r="I228" s="45">
        <v>84990</v>
      </c>
      <c r="J228" s="44"/>
      <c r="K228" s="142"/>
      <c r="L228" s="191"/>
      <c r="M228" s="37">
        <v>274</v>
      </c>
    </row>
    <row r="229" spans="1:13" s="37" customFormat="1" ht="13.5" customHeight="1">
      <c r="A229" s="130"/>
      <c r="B229" s="49" t="s">
        <v>216</v>
      </c>
      <c r="C229" s="50">
        <v>400</v>
      </c>
      <c r="D229" s="41" t="s">
        <v>200</v>
      </c>
      <c r="E229" s="166" t="s">
        <v>202</v>
      </c>
      <c r="F229" s="52"/>
      <c r="G229" s="44">
        <v>2162</v>
      </c>
      <c r="H229" s="44">
        <f t="shared" si="16"/>
        <v>183748.38</v>
      </c>
      <c r="I229" s="45">
        <v>84990</v>
      </c>
      <c r="J229" s="44"/>
      <c r="K229" s="69"/>
      <c r="L229" s="191"/>
      <c r="M229" s="37">
        <v>274</v>
      </c>
    </row>
    <row r="230" spans="1:12" s="37" customFormat="1" ht="13.5" customHeight="1" hidden="1">
      <c r="A230" s="130"/>
      <c r="B230" s="49" t="s">
        <v>216</v>
      </c>
      <c r="C230" s="50">
        <v>300</v>
      </c>
      <c r="D230" s="41" t="s">
        <v>200</v>
      </c>
      <c r="E230" s="166" t="s">
        <v>209</v>
      </c>
      <c r="F230" s="52"/>
      <c r="G230" s="44">
        <v>2900</v>
      </c>
      <c r="H230" s="44">
        <f t="shared" si="16"/>
        <v>289971</v>
      </c>
      <c r="I230" s="45">
        <v>99990</v>
      </c>
      <c r="J230" s="44"/>
      <c r="K230" s="69"/>
      <c r="L230" s="191"/>
    </row>
    <row r="231" spans="1:12" s="37" customFormat="1" ht="13.5" customHeight="1" hidden="1">
      <c r="A231" s="130"/>
      <c r="B231" s="49" t="s">
        <v>217</v>
      </c>
      <c r="C231" s="50">
        <v>500</v>
      </c>
      <c r="D231" s="41" t="s">
        <v>200</v>
      </c>
      <c r="E231" s="166" t="s">
        <v>202</v>
      </c>
      <c r="F231" s="52"/>
      <c r="G231" s="44">
        <v>2884</v>
      </c>
      <c r="H231" s="44">
        <f t="shared" si="16"/>
        <v>236459.16</v>
      </c>
      <c r="I231" s="45">
        <v>81990</v>
      </c>
      <c r="J231" s="44"/>
      <c r="K231" s="69"/>
      <c r="L231" s="191"/>
    </row>
    <row r="232" spans="1:13" s="54" customFormat="1" ht="21" customHeight="1">
      <c r="A232" s="130"/>
      <c r="B232" s="31" t="s">
        <v>218</v>
      </c>
      <c r="C232" s="71"/>
      <c r="D232" s="34"/>
      <c r="E232" s="34"/>
      <c r="F232" s="34"/>
      <c r="G232" s="34"/>
      <c r="H232" s="34"/>
      <c r="I232" s="34"/>
      <c r="J232" s="34"/>
      <c r="K232" s="72"/>
      <c r="M232" s="54">
        <v>275</v>
      </c>
    </row>
    <row r="233" spans="1:251" s="37" customFormat="1" ht="13.5" customHeight="1" hidden="1">
      <c r="A233" s="130"/>
      <c r="B233" s="98" t="s">
        <v>219</v>
      </c>
      <c r="C233" s="92"/>
      <c r="D233" s="42" t="s">
        <v>200</v>
      </c>
      <c r="E233" s="173" t="s">
        <v>220</v>
      </c>
      <c r="F233" s="43"/>
      <c r="G233" s="169">
        <v>63.8</v>
      </c>
      <c r="H233" s="45">
        <f aca="true" t="shared" si="17" ref="H233:H241">I233/(1000/G233)</f>
        <v>2185.15</v>
      </c>
      <c r="I233" s="45">
        <v>34250</v>
      </c>
      <c r="J233" s="45"/>
      <c r="K233" s="69" t="s">
        <v>221</v>
      </c>
      <c r="GL233" s="38"/>
      <c r="GM233" s="38"/>
      <c r="GN233" s="38"/>
      <c r="GO233" s="38"/>
      <c r="GP233" s="38"/>
      <c r="GQ233" s="38"/>
      <c r="GR233" s="38"/>
      <c r="GS233" s="38"/>
      <c r="GT233" s="38"/>
      <c r="GU233" s="38"/>
      <c r="GV233" s="38"/>
      <c r="GW233" s="38"/>
      <c r="GX233" s="38"/>
      <c r="GY233" s="38"/>
      <c r="GZ233" s="38"/>
      <c r="HA233" s="38"/>
      <c r="HB233" s="38"/>
      <c r="HC233" s="38"/>
      <c r="HD233" s="38"/>
      <c r="HE233" s="38"/>
      <c r="HF233" s="38"/>
      <c r="HG233" s="38"/>
      <c r="HH233" s="38"/>
      <c r="HI233" s="38"/>
      <c r="HJ233" s="38"/>
      <c r="HK233" s="38"/>
      <c r="HL233" s="38"/>
      <c r="HM233" s="38"/>
      <c r="HN233" s="38"/>
      <c r="HO233" s="38"/>
      <c r="HP233" s="38"/>
      <c r="HQ233" s="38"/>
      <c r="HR233" s="38"/>
      <c r="HS233" s="38"/>
      <c r="HT233" s="38"/>
      <c r="HU233" s="38"/>
      <c r="HV233" s="38"/>
      <c r="HW233" s="38"/>
      <c r="HX233" s="38"/>
      <c r="HY233" s="38"/>
      <c r="HZ233" s="38"/>
      <c r="IA233" s="38"/>
      <c r="IB233" s="38"/>
      <c r="IC233" s="38"/>
      <c r="ID233" s="38"/>
      <c r="IE233" s="38"/>
      <c r="IF233" s="38"/>
      <c r="IG233" s="38"/>
      <c r="IH233" s="38"/>
      <c r="II233" s="38"/>
      <c r="IJ233" s="38"/>
      <c r="IK233" s="38"/>
      <c r="IL233" s="38"/>
      <c r="IM233" s="38"/>
      <c r="IN233" s="38"/>
      <c r="IO233" s="38"/>
      <c r="IP233" s="38"/>
      <c r="IQ233" s="38"/>
    </row>
    <row r="234" spans="1:251" s="198" customFormat="1" ht="13.5" customHeight="1" hidden="1">
      <c r="A234" s="130"/>
      <c r="B234" s="196" t="s">
        <v>222</v>
      </c>
      <c r="C234" s="95"/>
      <c r="D234" s="86" t="s">
        <v>200</v>
      </c>
      <c r="E234" s="25" t="s">
        <v>223</v>
      </c>
      <c r="F234" s="65"/>
      <c r="G234" s="197">
        <v>62</v>
      </c>
      <c r="H234" s="66">
        <f t="shared" si="17"/>
        <v>2417.38</v>
      </c>
      <c r="I234" s="66">
        <v>38990</v>
      </c>
      <c r="J234" s="66"/>
      <c r="K234" s="104" t="s">
        <v>221</v>
      </c>
      <c r="GL234" s="199"/>
      <c r="GM234" s="199"/>
      <c r="GN234" s="199"/>
      <c r="GO234" s="199"/>
      <c r="GP234" s="199"/>
      <c r="GQ234" s="199"/>
      <c r="GR234" s="199"/>
      <c r="GS234" s="199"/>
      <c r="GT234" s="199"/>
      <c r="GU234" s="199"/>
      <c r="GV234" s="199"/>
      <c r="GW234" s="199"/>
      <c r="GX234" s="199"/>
      <c r="GY234" s="199"/>
      <c r="GZ234" s="199"/>
      <c r="HA234" s="199"/>
      <c r="HB234" s="199"/>
      <c r="HC234" s="199"/>
      <c r="HD234" s="199"/>
      <c r="HE234" s="199"/>
      <c r="HF234" s="199"/>
      <c r="HG234" s="199"/>
      <c r="HH234" s="199"/>
      <c r="HI234" s="199"/>
      <c r="HJ234" s="199"/>
      <c r="HK234" s="199"/>
      <c r="HL234" s="199"/>
      <c r="HM234" s="199"/>
      <c r="HN234" s="199"/>
      <c r="HO234" s="199"/>
      <c r="HP234" s="199"/>
      <c r="HQ234" s="199"/>
      <c r="HR234" s="199"/>
      <c r="HS234" s="199"/>
      <c r="HT234" s="199"/>
      <c r="HU234" s="199"/>
      <c r="HV234" s="199"/>
      <c r="HW234" s="199"/>
      <c r="HX234" s="199"/>
      <c r="HY234" s="199"/>
      <c r="HZ234" s="199"/>
      <c r="IA234" s="199"/>
      <c r="IB234" s="199"/>
      <c r="IC234" s="199"/>
      <c r="ID234" s="199"/>
      <c r="IE234" s="199"/>
      <c r="IF234" s="199"/>
      <c r="IG234" s="199"/>
      <c r="IH234" s="199"/>
      <c r="II234" s="199"/>
      <c r="IJ234" s="199"/>
      <c r="IK234" s="199"/>
      <c r="IL234" s="199"/>
      <c r="IM234" s="199"/>
      <c r="IN234" s="199"/>
      <c r="IO234" s="199"/>
      <c r="IP234" s="199"/>
      <c r="IQ234" s="199"/>
    </row>
    <row r="235" spans="1:251" s="37" customFormat="1" ht="13.5" customHeight="1" hidden="1">
      <c r="A235" s="130"/>
      <c r="B235" s="98" t="s">
        <v>222</v>
      </c>
      <c r="C235" s="92"/>
      <c r="D235" s="42" t="s">
        <v>200</v>
      </c>
      <c r="E235" s="173" t="s">
        <v>179</v>
      </c>
      <c r="F235" s="43"/>
      <c r="G235" s="40">
        <v>77</v>
      </c>
      <c r="H235" s="45">
        <f t="shared" si="17"/>
        <v>5928.2300000000005</v>
      </c>
      <c r="I235" s="44">
        <v>76990</v>
      </c>
      <c r="J235" s="45"/>
      <c r="K235" s="69" t="s">
        <v>221</v>
      </c>
      <c r="GL235" s="38"/>
      <c r="GM235" s="38"/>
      <c r="GN235" s="38"/>
      <c r="GO235" s="38"/>
      <c r="GP235" s="38"/>
      <c r="GQ235" s="38"/>
      <c r="GR235" s="38"/>
      <c r="GS235" s="38"/>
      <c r="GT235" s="38"/>
      <c r="GU235" s="38"/>
      <c r="GV235" s="38"/>
      <c r="GW235" s="38"/>
      <c r="GX235" s="38"/>
      <c r="GY235" s="38"/>
      <c r="GZ235" s="38"/>
      <c r="HA235" s="38"/>
      <c r="HB235" s="38"/>
      <c r="HC235" s="38"/>
      <c r="HD235" s="38"/>
      <c r="HE235" s="38"/>
      <c r="HF235" s="38"/>
      <c r="HG235" s="38"/>
      <c r="HH235" s="38"/>
      <c r="HI235" s="38"/>
      <c r="HJ235" s="38"/>
      <c r="HK235" s="38"/>
      <c r="HL235" s="38"/>
      <c r="HM235" s="38"/>
      <c r="HN235" s="38"/>
      <c r="HO235" s="38"/>
      <c r="HP235" s="38"/>
      <c r="HQ235" s="38"/>
      <c r="HR235" s="38"/>
      <c r="HS235" s="38"/>
      <c r="HT235" s="38"/>
      <c r="HU235" s="38"/>
      <c r="HV235" s="38"/>
      <c r="HW235" s="38"/>
      <c r="HX235" s="38"/>
      <c r="HY235" s="38"/>
      <c r="HZ235" s="38"/>
      <c r="IA235" s="38"/>
      <c r="IB235" s="38"/>
      <c r="IC235" s="38"/>
      <c r="ID235" s="38"/>
      <c r="IE235" s="38"/>
      <c r="IF235" s="38"/>
      <c r="IG235" s="38"/>
      <c r="IH235" s="38"/>
      <c r="II235" s="38"/>
      <c r="IJ235" s="38"/>
      <c r="IK235" s="38"/>
      <c r="IL235" s="38"/>
      <c r="IM235" s="38"/>
      <c r="IN235" s="38"/>
      <c r="IO235" s="38"/>
      <c r="IP235" s="38"/>
      <c r="IQ235" s="38"/>
    </row>
    <row r="236" spans="1:251" s="37" customFormat="1" ht="13.5" customHeight="1">
      <c r="A236" s="130"/>
      <c r="B236" s="98" t="s">
        <v>222</v>
      </c>
      <c r="C236" s="92"/>
      <c r="D236" s="42" t="s">
        <v>200</v>
      </c>
      <c r="E236" s="173" t="s">
        <v>201</v>
      </c>
      <c r="F236" s="43"/>
      <c r="G236" s="40">
        <v>111</v>
      </c>
      <c r="H236" s="45">
        <f t="shared" si="17"/>
        <v>8434.89</v>
      </c>
      <c r="I236" s="44">
        <v>75990</v>
      </c>
      <c r="J236" s="44"/>
      <c r="K236" s="69" t="s">
        <v>221</v>
      </c>
      <c r="M236" s="37">
        <v>275</v>
      </c>
      <c r="GL236" s="38"/>
      <c r="GM236" s="38"/>
      <c r="GN236" s="38"/>
      <c r="GO236" s="38"/>
      <c r="GP236" s="38"/>
      <c r="GQ236" s="38"/>
      <c r="GR236" s="38"/>
      <c r="GS236" s="38"/>
      <c r="GT236" s="38"/>
      <c r="GU236" s="38"/>
      <c r="GV236" s="38"/>
      <c r="GW236" s="38"/>
      <c r="GX236" s="38"/>
      <c r="GY236" s="38"/>
      <c r="GZ236" s="38"/>
      <c r="HA236" s="38"/>
      <c r="HB236" s="38"/>
      <c r="HC236" s="38"/>
      <c r="HD236" s="38"/>
      <c r="HE236" s="38"/>
      <c r="HF236" s="38"/>
      <c r="HG236" s="38"/>
      <c r="HH236" s="38"/>
      <c r="HI236" s="38"/>
      <c r="HJ236" s="38"/>
      <c r="HK236" s="38"/>
      <c r="HL236" s="38"/>
      <c r="HM236" s="38"/>
      <c r="HN236" s="38"/>
      <c r="HO236" s="38"/>
      <c r="HP236" s="38"/>
      <c r="HQ236" s="38"/>
      <c r="HR236" s="38"/>
      <c r="HS236" s="38"/>
      <c r="HT236" s="38"/>
      <c r="HU236" s="38"/>
      <c r="HV236" s="38"/>
      <c r="HW236" s="38"/>
      <c r="HX236" s="38"/>
      <c r="HY236" s="38"/>
      <c r="HZ236" s="38"/>
      <c r="IA236" s="38"/>
      <c r="IB236" s="38"/>
      <c r="IC236" s="38"/>
      <c r="ID236" s="38"/>
      <c r="IE236" s="38"/>
      <c r="IF236" s="38"/>
      <c r="IG236" s="38"/>
      <c r="IH236" s="38"/>
      <c r="II236" s="38"/>
      <c r="IJ236" s="38"/>
      <c r="IK236" s="38"/>
      <c r="IL236" s="38"/>
      <c r="IM236" s="38"/>
      <c r="IN236" s="38"/>
      <c r="IO236" s="38"/>
      <c r="IP236" s="38"/>
      <c r="IQ236" s="38"/>
    </row>
    <row r="237" spans="1:251" s="37" customFormat="1" ht="13.5" customHeight="1" hidden="1">
      <c r="A237" s="130"/>
      <c r="B237" s="98" t="s">
        <v>224</v>
      </c>
      <c r="C237" s="92">
        <v>40</v>
      </c>
      <c r="D237" s="42" t="s">
        <v>200</v>
      </c>
      <c r="E237" s="173" t="s">
        <v>179</v>
      </c>
      <c r="F237" s="43"/>
      <c r="G237" s="40">
        <v>105</v>
      </c>
      <c r="H237" s="45">
        <f t="shared" si="17"/>
        <v>11548.95</v>
      </c>
      <c r="I237" s="44">
        <v>109990</v>
      </c>
      <c r="J237" s="44">
        <f>I237-240</f>
        <v>109750</v>
      </c>
      <c r="K237" s="200"/>
      <c r="GL237" s="38"/>
      <c r="GM237" s="38"/>
      <c r="GN237" s="38"/>
      <c r="GO237" s="38"/>
      <c r="GP237" s="38"/>
      <c r="GQ237" s="38"/>
      <c r="GR237" s="38"/>
      <c r="GS237" s="38"/>
      <c r="GT237" s="38"/>
      <c r="GU237" s="38"/>
      <c r="GV237" s="38"/>
      <c r="GW237" s="38"/>
      <c r="GX237" s="38"/>
      <c r="GY237" s="38"/>
      <c r="GZ237" s="38"/>
      <c r="HA237" s="38"/>
      <c r="HB237" s="38"/>
      <c r="HC237" s="38"/>
      <c r="HD237" s="38"/>
      <c r="HE237" s="38"/>
      <c r="HF237" s="38"/>
      <c r="HG237" s="38"/>
      <c r="HH237" s="38"/>
      <c r="HI237" s="38"/>
      <c r="HJ237" s="38"/>
      <c r="HK237" s="38"/>
      <c r="HL237" s="38"/>
      <c r="HM237" s="38"/>
      <c r="HN237" s="38"/>
      <c r="HO237" s="38"/>
      <c r="HP237" s="38"/>
      <c r="HQ237" s="38"/>
      <c r="HR237" s="38"/>
      <c r="HS237" s="38"/>
      <c r="HT237" s="38"/>
      <c r="HU237" s="38"/>
      <c r="HV237" s="38"/>
      <c r="HW237" s="38"/>
      <c r="HX237" s="38"/>
      <c r="HY237" s="38"/>
      <c r="HZ237" s="38"/>
      <c r="IA237" s="38"/>
      <c r="IB237" s="38"/>
      <c r="IC237" s="38"/>
      <c r="ID237" s="38"/>
      <c r="IE237" s="38"/>
      <c r="IF237" s="38"/>
      <c r="IG237" s="38"/>
      <c r="IH237" s="38"/>
      <c r="II237" s="38"/>
      <c r="IJ237" s="38"/>
      <c r="IK237" s="38"/>
      <c r="IL237" s="38"/>
      <c r="IM237" s="38"/>
      <c r="IN237" s="38"/>
      <c r="IO237" s="38"/>
      <c r="IP237" s="38"/>
      <c r="IQ237" s="38"/>
    </row>
    <row r="238" spans="1:251" s="37" customFormat="1" ht="13.5" customHeight="1" hidden="1">
      <c r="A238" s="130"/>
      <c r="B238" s="98" t="s">
        <v>224</v>
      </c>
      <c r="C238" s="92">
        <v>60</v>
      </c>
      <c r="D238" s="42" t="s">
        <v>200</v>
      </c>
      <c r="E238" s="173" t="s">
        <v>201</v>
      </c>
      <c r="F238" s="43"/>
      <c r="G238" s="45">
        <v>151</v>
      </c>
      <c r="H238" s="45">
        <f t="shared" si="17"/>
        <v>16608.49</v>
      </c>
      <c r="I238" s="44">
        <v>109990</v>
      </c>
      <c r="J238" s="44"/>
      <c r="K238" s="69"/>
      <c r="L238" s="201"/>
      <c r="GL238" s="38"/>
      <c r="GM238" s="38"/>
      <c r="GN238" s="38"/>
      <c r="GO238" s="38"/>
      <c r="GP238" s="38"/>
      <c r="GQ238" s="38"/>
      <c r="GR238" s="38"/>
      <c r="GS238" s="38"/>
      <c r="GT238" s="38"/>
      <c r="GU238" s="38"/>
      <c r="GV238" s="38"/>
      <c r="GW238" s="38"/>
      <c r="GX238" s="38"/>
      <c r="GY238" s="38"/>
      <c r="GZ238" s="38"/>
      <c r="HA238" s="38"/>
      <c r="HB238" s="38"/>
      <c r="HC238" s="38"/>
      <c r="HD238" s="38"/>
      <c r="HE238" s="38"/>
      <c r="HF238" s="38"/>
      <c r="HG238" s="38"/>
      <c r="HH238" s="38"/>
      <c r="HI238" s="38"/>
      <c r="HJ238" s="38"/>
      <c r="HK238" s="38"/>
      <c r="HL238" s="38"/>
      <c r="HM238" s="38"/>
      <c r="HN238" s="38"/>
      <c r="HO238" s="38"/>
      <c r="HP238" s="38"/>
      <c r="HQ238" s="38"/>
      <c r="HR238" s="38"/>
      <c r="HS238" s="38"/>
      <c r="HT238" s="38"/>
      <c r="HU238" s="38"/>
      <c r="HV238" s="38"/>
      <c r="HW238" s="38"/>
      <c r="HX238" s="38"/>
      <c r="HY238" s="38"/>
      <c r="HZ238" s="38"/>
      <c r="IA238" s="38"/>
      <c r="IB238" s="38"/>
      <c r="IC238" s="38"/>
      <c r="ID238" s="38"/>
      <c r="IE238" s="38"/>
      <c r="IF238" s="38"/>
      <c r="IG238" s="38"/>
      <c r="IH238" s="38"/>
      <c r="II238" s="38"/>
      <c r="IJ238" s="38"/>
      <c r="IK238" s="38"/>
      <c r="IL238" s="38"/>
      <c r="IM238" s="38"/>
      <c r="IN238" s="38"/>
      <c r="IO238" s="38"/>
      <c r="IP238" s="38"/>
      <c r="IQ238" s="38"/>
    </row>
    <row r="239" spans="1:251" s="192" customFormat="1" ht="13.5" customHeight="1">
      <c r="A239" s="132"/>
      <c r="B239" s="98" t="s">
        <v>224</v>
      </c>
      <c r="C239" s="92">
        <v>80</v>
      </c>
      <c r="D239" s="42" t="s">
        <v>200</v>
      </c>
      <c r="E239" s="173" t="s">
        <v>202</v>
      </c>
      <c r="F239" s="43"/>
      <c r="G239" s="45">
        <v>302</v>
      </c>
      <c r="H239" s="45">
        <f t="shared" si="17"/>
        <v>22042.98</v>
      </c>
      <c r="I239" s="44">
        <v>72990</v>
      </c>
      <c r="J239" s="44"/>
      <c r="K239" s="69" t="s">
        <v>225</v>
      </c>
      <c r="L239" s="47"/>
      <c r="M239" s="192">
        <v>275</v>
      </c>
      <c r="GL239" s="202"/>
      <c r="GM239" s="202"/>
      <c r="GN239" s="202"/>
      <c r="GO239" s="202"/>
      <c r="GP239" s="202"/>
      <c r="GQ239" s="202"/>
      <c r="GR239" s="202"/>
      <c r="GS239" s="202"/>
      <c r="GT239" s="202"/>
      <c r="GU239" s="202"/>
      <c r="GV239" s="202"/>
      <c r="GW239" s="202"/>
      <c r="GX239" s="202"/>
      <c r="GY239" s="202"/>
      <c r="GZ239" s="202"/>
      <c r="HA239" s="202"/>
      <c r="HB239" s="202"/>
      <c r="HC239" s="202"/>
      <c r="HD239" s="202"/>
      <c r="HE239" s="202"/>
      <c r="HF239" s="202"/>
      <c r="HG239" s="202"/>
      <c r="HH239" s="202"/>
      <c r="HI239" s="202"/>
      <c r="HJ239" s="202"/>
      <c r="HK239" s="202"/>
      <c r="HL239" s="202"/>
      <c r="HM239" s="202"/>
      <c r="HN239" s="202"/>
      <c r="HO239" s="202"/>
      <c r="HP239" s="202"/>
      <c r="HQ239" s="202"/>
      <c r="HR239" s="202"/>
      <c r="HS239" s="202"/>
      <c r="HT239" s="202"/>
      <c r="HU239" s="202"/>
      <c r="HV239" s="202"/>
      <c r="HW239" s="202"/>
      <c r="HX239" s="202"/>
      <c r="HY239" s="202"/>
      <c r="HZ239" s="202"/>
      <c r="IA239" s="202"/>
      <c r="IB239" s="202"/>
      <c r="IC239" s="202"/>
      <c r="ID239" s="202"/>
      <c r="IE239" s="202"/>
      <c r="IF239" s="202"/>
      <c r="IG239" s="202"/>
      <c r="IH239" s="202"/>
      <c r="II239" s="202"/>
      <c r="IJ239" s="202"/>
      <c r="IK239" s="202"/>
      <c r="IL239" s="202"/>
      <c r="IM239" s="202"/>
      <c r="IN239" s="202"/>
      <c r="IO239" s="202"/>
      <c r="IP239" s="202"/>
      <c r="IQ239" s="202"/>
    </row>
    <row r="240" spans="1:251" s="37" customFormat="1" ht="13.5" customHeight="1" hidden="1">
      <c r="A240" s="130"/>
      <c r="B240" s="49" t="s">
        <v>226</v>
      </c>
      <c r="C240" s="50">
        <v>75</v>
      </c>
      <c r="D240" s="41" t="s">
        <v>200</v>
      </c>
      <c r="E240" s="166" t="s">
        <v>202</v>
      </c>
      <c r="F240" s="52"/>
      <c r="G240" s="182">
        <v>376</v>
      </c>
      <c r="H240" s="44">
        <f t="shared" si="17"/>
        <v>39476.24</v>
      </c>
      <c r="I240" s="45">
        <v>104990</v>
      </c>
      <c r="J240" s="45"/>
      <c r="K240" s="69"/>
      <c r="GL240" s="38"/>
      <c r="GM240" s="38"/>
      <c r="GN240" s="38"/>
      <c r="GO240" s="38"/>
      <c r="GP240" s="38"/>
      <c r="GQ240" s="38"/>
      <c r="GR240" s="38"/>
      <c r="GS240" s="38"/>
      <c r="GT240" s="38"/>
      <c r="GU240" s="38"/>
      <c r="GV240" s="38"/>
      <c r="GW240" s="38"/>
      <c r="GX240" s="38"/>
      <c r="GY240" s="38"/>
      <c r="GZ240" s="38"/>
      <c r="HA240" s="38"/>
      <c r="HB240" s="38"/>
      <c r="HC240" s="38"/>
      <c r="HD240" s="38"/>
      <c r="HE240" s="38"/>
      <c r="HF240" s="38"/>
      <c r="HG240" s="38"/>
      <c r="HH240" s="38"/>
      <c r="HI240" s="38"/>
      <c r="HJ240" s="38"/>
      <c r="HK240" s="38"/>
      <c r="HL240" s="38"/>
      <c r="HM240" s="38"/>
      <c r="HN240" s="38"/>
      <c r="HO240" s="38"/>
      <c r="HP240" s="38"/>
      <c r="HQ240" s="38"/>
      <c r="HR240" s="38"/>
      <c r="HS240" s="38"/>
      <c r="HT240" s="38"/>
      <c r="HU240" s="38"/>
      <c r="HV240" s="38"/>
      <c r="HW240" s="38"/>
      <c r="HX240" s="38"/>
      <c r="HY240" s="38"/>
      <c r="HZ240" s="38"/>
      <c r="IA240" s="38"/>
      <c r="IB240" s="38"/>
      <c r="IC240" s="38"/>
      <c r="ID240" s="38"/>
      <c r="IE240" s="38"/>
      <c r="IF240" s="38"/>
      <c r="IG240" s="38"/>
      <c r="IH240" s="38"/>
      <c r="II240" s="38"/>
      <c r="IJ240" s="38"/>
      <c r="IK240" s="38"/>
      <c r="IL240" s="38"/>
      <c r="IM240" s="38"/>
      <c r="IN240" s="38"/>
      <c r="IO240" s="38"/>
      <c r="IP240" s="38"/>
      <c r="IQ240" s="38"/>
    </row>
    <row r="241" spans="1:251" s="37" customFormat="1" ht="13.5" customHeight="1" hidden="1">
      <c r="A241" s="130"/>
      <c r="B241" s="49" t="s">
        <v>227</v>
      </c>
      <c r="C241" s="50">
        <v>60</v>
      </c>
      <c r="D241" s="41" t="s">
        <v>200</v>
      </c>
      <c r="E241" s="166" t="s">
        <v>202</v>
      </c>
      <c r="F241" s="52"/>
      <c r="G241" s="184">
        <v>436.5</v>
      </c>
      <c r="H241" s="44">
        <f t="shared" si="17"/>
        <v>21820.635000000002</v>
      </c>
      <c r="I241" s="45">
        <v>49990</v>
      </c>
      <c r="J241" s="45"/>
      <c r="K241" s="200"/>
      <c r="GL241" s="38"/>
      <c r="GM241" s="38"/>
      <c r="GN241" s="38"/>
      <c r="GO241" s="38"/>
      <c r="GP241" s="38"/>
      <c r="GQ241" s="38"/>
      <c r="GR241" s="38"/>
      <c r="GS241" s="38"/>
      <c r="GT241" s="38"/>
      <c r="GU241" s="38"/>
      <c r="GV241" s="38"/>
      <c r="GW241" s="38"/>
      <c r="GX241" s="38"/>
      <c r="GY241" s="38"/>
      <c r="GZ241" s="38"/>
      <c r="HA241" s="38"/>
      <c r="HB241" s="38"/>
      <c r="HC241" s="38"/>
      <c r="HD241" s="38"/>
      <c r="HE241" s="38"/>
      <c r="HF241" s="38"/>
      <c r="HG241" s="38"/>
      <c r="HH241" s="38"/>
      <c r="HI241" s="38"/>
      <c r="HJ241" s="38"/>
      <c r="HK241" s="38"/>
      <c r="HL241" s="38"/>
      <c r="HM241" s="38"/>
      <c r="HN241" s="38"/>
      <c r="HO241" s="38"/>
      <c r="HP241" s="38"/>
      <c r="HQ241" s="38"/>
      <c r="HR241" s="38"/>
      <c r="HS241" s="38"/>
      <c r="HT241" s="38"/>
      <c r="HU241" s="38"/>
      <c r="HV241" s="38"/>
      <c r="HW241" s="38"/>
      <c r="HX241" s="38"/>
      <c r="HY241" s="38"/>
      <c r="HZ241" s="38"/>
      <c r="IA241" s="38"/>
      <c r="IB241" s="38"/>
      <c r="IC241" s="38"/>
      <c r="ID241" s="38"/>
      <c r="IE241" s="38"/>
      <c r="IF241" s="38"/>
      <c r="IG241" s="38"/>
      <c r="IH241" s="38"/>
      <c r="II241" s="38"/>
      <c r="IJ241" s="38"/>
      <c r="IK241" s="38"/>
      <c r="IL241" s="38"/>
      <c r="IM241" s="38"/>
      <c r="IN241" s="38"/>
      <c r="IO241" s="38"/>
      <c r="IP241" s="38"/>
      <c r="IQ241" s="38"/>
    </row>
    <row r="242" spans="1:13" s="54" customFormat="1" ht="21" customHeight="1">
      <c r="A242" s="130"/>
      <c r="B242" s="31" t="s">
        <v>228</v>
      </c>
      <c r="C242" s="71"/>
      <c r="D242" s="34"/>
      <c r="E242" s="34"/>
      <c r="F242" s="34"/>
      <c r="G242" s="34"/>
      <c r="H242" s="34"/>
      <c r="I242" s="34"/>
      <c r="J242" s="34"/>
      <c r="K242" s="72"/>
      <c r="M242" s="54">
        <v>276</v>
      </c>
    </row>
    <row r="243" spans="1:251" s="37" customFormat="1" ht="13.5" customHeight="1" hidden="1">
      <c r="A243" s="130"/>
      <c r="B243" s="49" t="s">
        <v>229</v>
      </c>
      <c r="C243" s="50"/>
      <c r="D243" s="41" t="s">
        <v>197</v>
      </c>
      <c r="E243" s="166"/>
      <c r="F243" s="52"/>
      <c r="G243" s="52" t="s">
        <v>230</v>
      </c>
      <c r="H243" s="44"/>
      <c r="I243" s="44">
        <v>41990</v>
      </c>
      <c r="J243" s="45"/>
      <c r="K243" s="114"/>
      <c r="GL243" s="38"/>
      <c r="GM243" s="38"/>
      <c r="GN243" s="38"/>
      <c r="GO243" s="38"/>
      <c r="GP243" s="38"/>
      <c r="GQ243" s="38"/>
      <c r="GR243" s="38"/>
      <c r="GS243" s="38"/>
      <c r="GT243" s="38"/>
      <c r="GU243" s="38"/>
      <c r="GV243" s="38"/>
      <c r="GW243" s="38"/>
      <c r="GX243" s="38"/>
      <c r="GY243" s="38"/>
      <c r="GZ243" s="38"/>
      <c r="HA243" s="38"/>
      <c r="HB243" s="38"/>
      <c r="HC243" s="38"/>
      <c r="HD243" s="38"/>
      <c r="HE243" s="38"/>
      <c r="HF243" s="38"/>
      <c r="HG243" s="38"/>
      <c r="HH243" s="38"/>
      <c r="HI243" s="38"/>
      <c r="HJ243" s="38"/>
      <c r="HK243" s="38"/>
      <c r="HL243" s="38"/>
      <c r="HM243" s="38"/>
      <c r="HN243" s="38"/>
      <c r="HO243" s="38"/>
      <c r="HP243" s="38"/>
      <c r="HQ243" s="38"/>
      <c r="HR243" s="38"/>
      <c r="HS243" s="38"/>
      <c r="HT243" s="38"/>
      <c r="HU243" s="38"/>
      <c r="HV243" s="38"/>
      <c r="HW243" s="38"/>
      <c r="HX243" s="38"/>
      <c r="HY243" s="38"/>
      <c r="HZ243" s="38"/>
      <c r="IA243" s="38"/>
      <c r="IB243" s="38"/>
      <c r="IC243" s="38"/>
      <c r="ID243" s="38"/>
      <c r="IE243" s="38"/>
      <c r="IF243" s="38"/>
      <c r="IG243" s="38"/>
      <c r="IH243" s="38"/>
      <c r="II243" s="38"/>
      <c r="IJ243" s="38"/>
      <c r="IK243" s="38"/>
      <c r="IL243" s="38"/>
      <c r="IM243" s="38"/>
      <c r="IN243" s="38"/>
      <c r="IO243" s="38"/>
      <c r="IP243" s="38"/>
      <c r="IQ243" s="38"/>
    </row>
    <row r="244" spans="1:251" s="37" customFormat="1" ht="13.5" customHeight="1" hidden="1">
      <c r="A244" s="130"/>
      <c r="B244" s="49" t="s">
        <v>229</v>
      </c>
      <c r="C244" s="50"/>
      <c r="D244" s="41" t="s">
        <v>197</v>
      </c>
      <c r="E244" s="166" t="s">
        <v>181</v>
      </c>
      <c r="F244" s="52"/>
      <c r="G244" s="52">
        <v>32</v>
      </c>
      <c r="H244" s="44">
        <f aca="true" t="shared" si="18" ref="H244:H249">I244/(1000/G244)</f>
        <v>1407.68</v>
      </c>
      <c r="I244" s="44">
        <v>43990</v>
      </c>
      <c r="J244" s="45"/>
      <c r="K244" s="114"/>
      <c r="GL244" s="38"/>
      <c r="GM244" s="38"/>
      <c r="GN244" s="38"/>
      <c r="GO244" s="38"/>
      <c r="GP244" s="38"/>
      <c r="GQ244" s="38"/>
      <c r="GR244" s="38"/>
      <c r="GS244" s="38"/>
      <c r="GT244" s="38"/>
      <c r="GU244" s="38"/>
      <c r="GV244" s="38"/>
      <c r="GW244" s="38"/>
      <c r="GX244" s="38"/>
      <c r="GY244" s="38"/>
      <c r="GZ244" s="38"/>
      <c r="HA244" s="38"/>
      <c r="HB244" s="38"/>
      <c r="HC244" s="38"/>
      <c r="HD244" s="38"/>
      <c r="HE244" s="38"/>
      <c r="HF244" s="38"/>
      <c r="HG244" s="38"/>
      <c r="HH244" s="38"/>
      <c r="HI244" s="38"/>
      <c r="HJ244" s="38"/>
      <c r="HK244" s="38"/>
      <c r="HL244" s="38"/>
      <c r="HM244" s="38"/>
      <c r="HN244" s="38"/>
      <c r="HO244" s="38"/>
      <c r="HP244" s="38"/>
      <c r="HQ244" s="38"/>
      <c r="HR244" s="38"/>
      <c r="HS244" s="38"/>
      <c r="HT244" s="38"/>
      <c r="HU244" s="38"/>
      <c r="HV244" s="38"/>
      <c r="HW244" s="38"/>
      <c r="HX244" s="38"/>
      <c r="HY244" s="38"/>
      <c r="HZ244" s="38"/>
      <c r="IA244" s="38"/>
      <c r="IB244" s="38"/>
      <c r="IC244" s="38"/>
      <c r="ID244" s="38"/>
      <c r="IE244" s="38"/>
      <c r="IF244" s="38"/>
      <c r="IG244" s="38"/>
      <c r="IH244" s="38"/>
      <c r="II244" s="38"/>
      <c r="IJ244" s="38"/>
      <c r="IK244" s="38"/>
      <c r="IL244" s="38"/>
      <c r="IM244" s="38"/>
      <c r="IN244" s="38"/>
      <c r="IO244" s="38"/>
      <c r="IP244" s="38"/>
      <c r="IQ244" s="38"/>
    </row>
    <row r="245" spans="1:251" s="37" customFormat="1" ht="13.5" customHeight="1" hidden="1">
      <c r="A245" s="130"/>
      <c r="B245" s="49" t="s">
        <v>229</v>
      </c>
      <c r="C245" s="50"/>
      <c r="D245" s="41" t="s">
        <v>197</v>
      </c>
      <c r="E245" s="166" t="s">
        <v>231</v>
      </c>
      <c r="F245" s="52"/>
      <c r="G245" s="52">
        <v>34</v>
      </c>
      <c r="H245" s="44">
        <f t="shared" si="18"/>
        <v>1495.66</v>
      </c>
      <c r="I245" s="44">
        <v>43990</v>
      </c>
      <c r="J245" s="45"/>
      <c r="K245" s="114"/>
      <c r="GL245" s="38"/>
      <c r="GM245" s="38"/>
      <c r="GN245" s="38"/>
      <c r="GO245" s="38"/>
      <c r="GP245" s="38"/>
      <c r="GQ245" s="38"/>
      <c r="GR245" s="38"/>
      <c r="GS245" s="38"/>
      <c r="GT245" s="38"/>
      <c r="GU245" s="38"/>
      <c r="GV245" s="38"/>
      <c r="GW245" s="38"/>
      <c r="GX245" s="38"/>
      <c r="GY245" s="38"/>
      <c r="GZ245" s="38"/>
      <c r="HA245" s="38"/>
      <c r="HB245" s="38"/>
      <c r="HC245" s="38"/>
      <c r="HD245" s="38"/>
      <c r="HE245" s="38"/>
      <c r="HF245" s="38"/>
      <c r="HG245" s="38"/>
      <c r="HH245" s="38"/>
      <c r="HI245" s="38"/>
      <c r="HJ245" s="38"/>
      <c r="HK245" s="38"/>
      <c r="HL245" s="38"/>
      <c r="HM245" s="38"/>
      <c r="HN245" s="38"/>
      <c r="HO245" s="38"/>
      <c r="HP245" s="38"/>
      <c r="HQ245" s="38"/>
      <c r="HR245" s="38"/>
      <c r="HS245" s="38"/>
      <c r="HT245" s="38"/>
      <c r="HU245" s="38"/>
      <c r="HV245" s="38"/>
      <c r="HW245" s="38"/>
      <c r="HX245" s="38"/>
      <c r="HY245" s="38"/>
      <c r="HZ245" s="38"/>
      <c r="IA245" s="38"/>
      <c r="IB245" s="38"/>
      <c r="IC245" s="38"/>
      <c r="ID245" s="38"/>
      <c r="IE245" s="38"/>
      <c r="IF245" s="38"/>
      <c r="IG245" s="38"/>
      <c r="IH245" s="38"/>
      <c r="II245" s="38"/>
      <c r="IJ245" s="38"/>
      <c r="IK245" s="38"/>
      <c r="IL245" s="38"/>
      <c r="IM245" s="38"/>
      <c r="IN245" s="38"/>
      <c r="IO245" s="38"/>
      <c r="IP245" s="38"/>
      <c r="IQ245" s="38"/>
    </row>
    <row r="246" spans="1:251" s="37" customFormat="1" ht="13.5" customHeight="1" hidden="1">
      <c r="A246" s="130"/>
      <c r="B246" s="49" t="s">
        <v>229</v>
      </c>
      <c r="C246" s="50"/>
      <c r="D246" s="41" t="s">
        <v>197</v>
      </c>
      <c r="E246" s="166" t="s">
        <v>232</v>
      </c>
      <c r="F246" s="52"/>
      <c r="G246" s="52">
        <v>35</v>
      </c>
      <c r="H246" s="44">
        <f t="shared" si="18"/>
        <v>1539.6499999999999</v>
      </c>
      <c r="I246" s="44">
        <v>43990</v>
      </c>
      <c r="J246" s="45"/>
      <c r="K246" s="114"/>
      <c r="GL246" s="38"/>
      <c r="GM246" s="38"/>
      <c r="GN246" s="38"/>
      <c r="GO246" s="38"/>
      <c r="GP246" s="38"/>
      <c r="GQ246" s="38"/>
      <c r="GR246" s="38"/>
      <c r="GS246" s="38"/>
      <c r="GT246" s="38"/>
      <c r="GU246" s="38"/>
      <c r="GV246" s="38"/>
      <c r="GW246" s="38"/>
      <c r="GX246" s="38"/>
      <c r="GY246" s="38"/>
      <c r="GZ246" s="38"/>
      <c r="HA246" s="38"/>
      <c r="HB246" s="38"/>
      <c r="HC246" s="38"/>
      <c r="HD246" s="38"/>
      <c r="HE246" s="38"/>
      <c r="HF246" s="38"/>
      <c r="HG246" s="38"/>
      <c r="HH246" s="38"/>
      <c r="HI246" s="38"/>
      <c r="HJ246" s="38"/>
      <c r="HK246" s="38"/>
      <c r="HL246" s="38"/>
      <c r="HM246" s="38"/>
      <c r="HN246" s="38"/>
      <c r="HO246" s="38"/>
      <c r="HP246" s="38"/>
      <c r="HQ246" s="38"/>
      <c r="HR246" s="38"/>
      <c r="HS246" s="38"/>
      <c r="HT246" s="38"/>
      <c r="HU246" s="38"/>
      <c r="HV246" s="38"/>
      <c r="HW246" s="38"/>
      <c r="HX246" s="38"/>
      <c r="HY246" s="38"/>
      <c r="HZ246" s="38"/>
      <c r="IA246" s="38"/>
      <c r="IB246" s="38"/>
      <c r="IC246" s="38"/>
      <c r="ID246" s="38"/>
      <c r="IE246" s="38"/>
      <c r="IF246" s="38"/>
      <c r="IG246" s="38"/>
      <c r="IH246" s="38"/>
      <c r="II246" s="38"/>
      <c r="IJ246" s="38"/>
      <c r="IK246" s="38"/>
      <c r="IL246" s="38"/>
      <c r="IM246" s="38"/>
      <c r="IN246" s="38"/>
      <c r="IO246" s="38"/>
      <c r="IP246" s="38"/>
      <c r="IQ246" s="38"/>
    </row>
    <row r="247" spans="1:251" s="37" customFormat="1" ht="13.5" customHeight="1" hidden="1">
      <c r="A247" s="130"/>
      <c r="B247" s="49" t="s">
        <v>229</v>
      </c>
      <c r="C247" s="50"/>
      <c r="D247" s="41" t="s">
        <v>197</v>
      </c>
      <c r="E247" s="166" t="s">
        <v>233</v>
      </c>
      <c r="F247" s="52"/>
      <c r="G247" s="52">
        <v>39</v>
      </c>
      <c r="H247" s="44">
        <f t="shared" si="18"/>
        <v>1715.61</v>
      </c>
      <c r="I247" s="44">
        <v>43990</v>
      </c>
      <c r="J247" s="45"/>
      <c r="K247" s="114"/>
      <c r="GL247" s="38"/>
      <c r="GM247" s="38"/>
      <c r="GN247" s="38"/>
      <c r="GO247" s="38"/>
      <c r="GP247" s="38"/>
      <c r="GQ247" s="38"/>
      <c r="GR247" s="38"/>
      <c r="GS247" s="38"/>
      <c r="GT247" s="38"/>
      <c r="GU247" s="38"/>
      <c r="GV247" s="38"/>
      <c r="GW247" s="38"/>
      <c r="GX247" s="38"/>
      <c r="GY247" s="38"/>
      <c r="GZ247" s="38"/>
      <c r="HA247" s="38"/>
      <c r="HB247" s="38"/>
      <c r="HC247" s="38"/>
      <c r="HD247" s="38"/>
      <c r="HE247" s="38"/>
      <c r="HF247" s="38"/>
      <c r="HG247" s="38"/>
      <c r="HH247" s="38"/>
      <c r="HI247" s="38"/>
      <c r="HJ247" s="38"/>
      <c r="HK247" s="38"/>
      <c r="HL247" s="38"/>
      <c r="HM247" s="38"/>
      <c r="HN247" s="38"/>
      <c r="HO247" s="38"/>
      <c r="HP247" s="38"/>
      <c r="HQ247" s="38"/>
      <c r="HR247" s="38"/>
      <c r="HS247" s="38"/>
      <c r="HT247" s="38"/>
      <c r="HU247" s="38"/>
      <c r="HV247" s="38"/>
      <c r="HW247" s="38"/>
      <c r="HX247" s="38"/>
      <c r="HY247" s="38"/>
      <c r="HZ247" s="38"/>
      <c r="IA247" s="38"/>
      <c r="IB247" s="38"/>
      <c r="IC247" s="38"/>
      <c r="ID247" s="38"/>
      <c r="IE247" s="38"/>
      <c r="IF247" s="38"/>
      <c r="IG247" s="38"/>
      <c r="IH247" s="38"/>
      <c r="II247" s="38"/>
      <c r="IJ247" s="38"/>
      <c r="IK247" s="38"/>
      <c r="IL247" s="38"/>
      <c r="IM247" s="38"/>
      <c r="IN247" s="38"/>
      <c r="IO247" s="38"/>
      <c r="IP247" s="38"/>
      <c r="IQ247" s="38"/>
    </row>
    <row r="248" spans="1:251" s="37" customFormat="1" ht="13.5" customHeight="1" hidden="1">
      <c r="A248" s="130"/>
      <c r="B248" s="49" t="s">
        <v>229</v>
      </c>
      <c r="C248" s="50"/>
      <c r="D248" s="41" t="s">
        <v>197</v>
      </c>
      <c r="E248" s="166" t="s">
        <v>223</v>
      </c>
      <c r="F248" s="52"/>
      <c r="G248" s="52">
        <v>46</v>
      </c>
      <c r="H248" s="44">
        <f t="shared" si="18"/>
        <v>2023.54</v>
      </c>
      <c r="I248" s="44">
        <v>43990</v>
      </c>
      <c r="J248" s="45"/>
      <c r="K248" s="114"/>
      <c r="GL248" s="38"/>
      <c r="GM248" s="38"/>
      <c r="GN248" s="38"/>
      <c r="GO248" s="38"/>
      <c r="GP248" s="38"/>
      <c r="GQ248" s="38"/>
      <c r="GR248" s="38"/>
      <c r="GS248" s="38"/>
      <c r="GT248" s="38"/>
      <c r="GU248" s="38"/>
      <c r="GV248" s="38"/>
      <c r="GW248" s="38"/>
      <c r="GX248" s="38"/>
      <c r="GY248" s="38"/>
      <c r="GZ248" s="38"/>
      <c r="HA248" s="38"/>
      <c r="HB248" s="38"/>
      <c r="HC248" s="38"/>
      <c r="HD248" s="38"/>
      <c r="HE248" s="38"/>
      <c r="HF248" s="38"/>
      <c r="HG248" s="38"/>
      <c r="HH248" s="38"/>
      <c r="HI248" s="38"/>
      <c r="HJ248" s="38"/>
      <c r="HK248" s="38"/>
      <c r="HL248" s="38"/>
      <c r="HM248" s="38"/>
      <c r="HN248" s="38"/>
      <c r="HO248" s="38"/>
      <c r="HP248" s="38"/>
      <c r="HQ248" s="38"/>
      <c r="HR248" s="38"/>
      <c r="HS248" s="38"/>
      <c r="HT248" s="38"/>
      <c r="HU248" s="38"/>
      <c r="HV248" s="38"/>
      <c r="HW248" s="38"/>
      <c r="HX248" s="38"/>
      <c r="HY248" s="38"/>
      <c r="HZ248" s="38"/>
      <c r="IA248" s="38"/>
      <c r="IB248" s="38"/>
      <c r="IC248" s="38"/>
      <c r="ID248" s="38"/>
      <c r="IE248" s="38"/>
      <c r="IF248" s="38"/>
      <c r="IG248" s="38"/>
      <c r="IH248" s="38"/>
      <c r="II248" s="38"/>
      <c r="IJ248" s="38"/>
      <c r="IK248" s="38"/>
      <c r="IL248" s="38"/>
      <c r="IM248" s="38"/>
      <c r="IN248" s="38"/>
      <c r="IO248" s="38"/>
      <c r="IP248" s="38"/>
      <c r="IQ248" s="38"/>
    </row>
    <row r="249" spans="1:251" s="37" customFormat="1" ht="13.5" customHeight="1" hidden="1">
      <c r="A249" s="130"/>
      <c r="B249" s="49" t="s">
        <v>229</v>
      </c>
      <c r="C249" s="50"/>
      <c r="D249" s="41" t="s">
        <v>197</v>
      </c>
      <c r="E249" s="166" t="s">
        <v>234</v>
      </c>
      <c r="F249" s="52"/>
      <c r="G249" s="52">
        <v>47.7</v>
      </c>
      <c r="H249" s="44">
        <f t="shared" si="18"/>
        <v>2098.3230000000003</v>
      </c>
      <c r="I249" s="44">
        <v>43990</v>
      </c>
      <c r="J249" s="45"/>
      <c r="K249" s="46"/>
      <c r="GL249" s="38"/>
      <c r="GM249" s="38"/>
      <c r="GN249" s="38"/>
      <c r="GO249" s="38"/>
      <c r="GP249" s="38"/>
      <c r="GQ249" s="38"/>
      <c r="GR249" s="38"/>
      <c r="GS249" s="38"/>
      <c r="GT249" s="38"/>
      <c r="GU249" s="38"/>
      <c r="GV249" s="38"/>
      <c r="GW249" s="38"/>
      <c r="GX249" s="38"/>
      <c r="GY249" s="38"/>
      <c r="GZ249" s="38"/>
      <c r="HA249" s="38"/>
      <c r="HB249" s="38"/>
      <c r="HC249" s="38"/>
      <c r="HD249" s="38"/>
      <c r="HE249" s="38"/>
      <c r="HF249" s="38"/>
      <c r="HG249" s="38"/>
      <c r="HH249" s="38"/>
      <c r="HI249" s="38"/>
      <c r="HJ249" s="38"/>
      <c r="HK249" s="38"/>
      <c r="HL249" s="38"/>
      <c r="HM249" s="38"/>
      <c r="HN249" s="38"/>
      <c r="HO249" s="38"/>
      <c r="HP249" s="38"/>
      <c r="HQ249" s="38"/>
      <c r="HR249" s="38"/>
      <c r="HS249" s="38"/>
      <c r="HT249" s="38"/>
      <c r="HU249" s="38"/>
      <c r="HV249" s="38"/>
      <c r="HW249" s="38"/>
      <c r="HX249" s="38"/>
      <c r="HY249" s="38"/>
      <c r="HZ249" s="38"/>
      <c r="IA249" s="38"/>
      <c r="IB249" s="38"/>
      <c r="IC249" s="38"/>
      <c r="ID249" s="38"/>
      <c r="IE249" s="38"/>
      <c r="IF249" s="38"/>
      <c r="IG249" s="38"/>
      <c r="IH249" s="38"/>
      <c r="II249" s="38"/>
      <c r="IJ249" s="38"/>
      <c r="IK249" s="38"/>
      <c r="IL249" s="38"/>
      <c r="IM249" s="38"/>
      <c r="IN249" s="38"/>
      <c r="IO249" s="38"/>
      <c r="IP249" s="38"/>
      <c r="IQ249" s="38"/>
    </row>
    <row r="250" spans="1:251" s="37" customFormat="1" ht="13.5" customHeight="1">
      <c r="A250" s="130"/>
      <c r="B250" s="49" t="s">
        <v>229</v>
      </c>
      <c r="C250" s="50"/>
      <c r="D250" s="41" t="s">
        <v>197</v>
      </c>
      <c r="E250" s="166"/>
      <c r="F250" s="52"/>
      <c r="G250" s="52" t="s">
        <v>235</v>
      </c>
      <c r="H250" s="44"/>
      <c r="I250" s="44">
        <v>95490</v>
      </c>
      <c r="J250" s="44"/>
      <c r="K250" s="46"/>
      <c r="M250" s="37">
        <v>276</v>
      </c>
      <c r="GL250" s="38"/>
      <c r="GM250" s="38"/>
      <c r="GN250" s="38"/>
      <c r="GO250" s="38"/>
      <c r="GP250" s="38"/>
      <c r="GQ250" s="38"/>
      <c r="GR250" s="38"/>
      <c r="GS250" s="38"/>
      <c r="GT250" s="38"/>
      <c r="GU250" s="38"/>
      <c r="GV250" s="38"/>
      <c r="GW250" s="38"/>
      <c r="GX250" s="38"/>
      <c r="GY250" s="38"/>
      <c r="GZ250" s="38"/>
      <c r="HA250" s="38"/>
      <c r="HB250" s="38"/>
      <c r="HC250" s="38"/>
      <c r="HD250" s="38"/>
      <c r="HE250" s="38"/>
      <c r="HF250" s="38"/>
      <c r="HG250" s="38"/>
      <c r="HH250" s="38"/>
      <c r="HI250" s="38"/>
      <c r="HJ250" s="38"/>
      <c r="HK250" s="38"/>
      <c r="HL250" s="38"/>
      <c r="HM250" s="38"/>
      <c r="HN250" s="38"/>
      <c r="HO250" s="38"/>
      <c r="HP250" s="38"/>
      <c r="HQ250" s="38"/>
      <c r="HR250" s="38"/>
      <c r="HS250" s="38"/>
      <c r="HT250" s="38"/>
      <c r="HU250" s="38"/>
      <c r="HV250" s="38"/>
      <c r="HW250" s="38"/>
      <c r="HX250" s="38"/>
      <c r="HY250" s="38"/>
      <c r="HZ250" s="38"/>
      <c r="IA250" s="38"/>
      <c r="IB250" s="38"/>
      <c r="IC250" s="38"/>
      <c r="ID250" s="38"/>
      <c r="IE250" s="38"/>
      <c r="IF250" s="38"/>
      <c r="IG250" s="38"/>
      <c r="IH250" s="38"/>
      <c r="II250" s="38"/>
      <c r="IJ250" s="38"/>
      <c r="IK250" s="38"/>
      <c r="IL250" s="38"/>
      <c r="IM250" s="38"/>
      <c r="IN250" s="38"/>
      <c r="IO250" s="38"/>
      <c r="IP250" s="38"/>
      <c r="IQ250" s="38"/>
    </row>
    <row r="251" spans="1:251" s="37" customFormat="1" ht="13.5" customHeight="1" hidden="1">
      <c r="A251" s="130"/>
      <c r="B251" s="49" t="s">
        <v>229</v>
      </c>
      <c r="C251" s="50"/>
      <c r="D251" s="41" t="s">
        <v>197</v>
      </c>
      <c r="E251" s="166" t="s">
        <v>236</v>
      </c>
      <c r="F251" s="52"/>
      <c r="G251" s="52">
        <v>50</v>
      </c>
      <c r="H251" s="44">
        <f>I251/(1000/G251)</f>
        <v>2199.5</v>
      </c>
      <c r="I251" s="44">
        <v>43990</v>
      </c>
      <c r="J251" s="45"/>
      <c r="K251" s="114"/>
      <c r="GL251" s="38"/>
      <c r="GM251" s="38"/>
      <c r="GN251" s="38"/>
      <c r="GO251" s="38"/>
      <c r="GP251" s="38"/>
      <c r="GQ251" s="38"/>
      <c r="GR251" s="38"/>
      <c r="GS251" s="38"/>
      <c r="GT251" s="38"/>
      <c r="GU251" s="38"/>
      <c r="GV251" s="38"/>
      <c r="GW251" s="38"/>
      <c r="GX251" s="38"/>
      <c r="GY251" s="38"/>
      <c r="GZ251" s="38"/>
      <c r="HA251" s="38"/>
      <c r="HB251" s="38"/>
      <c r="HC251" s="38"/>
      <c r="HD251" s="38"/>
      <c r="HE251" s="38"/>
      <c r="HF251" s="38"/>
      <c r="HG251" s="38"/>
      <c r="HH251" s="38"/>
      <c r="HI251" s="38"/>
      <c r="HJ251" s="38"/>
      <c r="HK251" s="38"/>
      <c r="HL251" s="38"/>
      <c r="HM251" s="38"/>
      <c r="HN251" s="38"/>
      <c r="HO251" s="38"/>
      <c r="HP251" s="38"/>
      <c r="HQ251" s="38"/>
      <c r="HR251" s="38"/>
      <c r="HS251" s="38"/>
      <c r="HT251" s="38"/>
      <c r="HU251" s="38"/>
      <c r="HV251" s="38"/>
      <c r="HW251" s="38"/>
      <c r="HX251" s="38"/>
      <c r="HY251" s="38"/>
      <c r="HZ251" s="38"/>
      <c r="IA251" s="38"/>
      <c r="IB251" s="38"/>
      <c r="IC251" s="38"/>
      <c r="ID251" s="38"/>
      <c r="IE251" s="38"/>
      <c r="IF251" s="38"/>
      <c r="IG251" s="38"/>
      <c r="IH251" s="38"/>
      <c r="II251" s="38"/>
      <c r="IJ251" s="38"/>
      <c r="IK251" s="38"/>
      <c r="IL251" s="38"/>
      <c r="IM251" s="38"/>
      <c r="IN251" s="38"/>
      <c r="IO251" s="38"/>
      <c r="IP251" s="38"/>
      <c r="IQ251" s="38"/>
    </row>
    <row r="252" spans="1:251" s="37" customFormat="1" ht="13.5" customHeight="1" hidden="1">
      <c r="A252" s="130"/>
      <c r="B252" s="49" t="s">
        <v>229</v>
      </c>
      <c r="C252" s="50"/>
      <c r="D252" s="41" t="s">
        <v>197</v>
      </c>
      <c r="E252" s="166" t="s">
        <v>237</v>
      </c>
      <c r="F252" s="52"/>
      <c r="G252" s="52">
        <v>66</v>
      </c>
      <c r="H252" s="44">
        <f>I252/(1000/G252)</f>
        <v>2903.3399999999997</v>
      </c>
      <c r="I252" s="44">
        <v>43990</v>
      </c>
      <c r="J252" s="45"/>
      <c r="K252" s="114"/>
      <c r="GL252" s="38"/>
      <c r="GM252" s="38"/>
      <c r="GN252" s="38"/>
      <c r="GO252" s="38"/>
      <c r="GP252" s="38"/>
      <c r="GQ252" s="38"/>
      <c r="GR252" s="38"/>
      <c r="GS252" s="38"/>
      <c r="GT252" s="38"/>
      <c r="GU252" s="38"/>
      <c r="GV252" s="38"/>
      <c r="GW252" s="38"/>
      <c r="GX252" s="38"/>
      <c r="GY252" s="38"/>
      <c r="GZ252" s="38"/>
      <c r="HA252" s="38"/>
      <c r="HB252" s="38"/>
      <c r="HC252" s="38"/>
      <c r="HD252" s="38"/>
      <c r="HE252" s="38"/>
      <c r="HF252" s="38"/>
      <c r="HG252" s="38"/>
      <c r="HH252" s="38"/>
      <c r="HI252" s="38"/>
      <c r="HJ252" s="38"/>
      <c r="HK252" s="38"/>
      <c r="HL252" s="38"/>
      <c r="HM252" s="38"/>
      <c r="HN252" s="38"/>
      <c r="HO252" s="38"/>
      <c r="HP252" s="38"/>
      <c r="HQ252" s="38"/>
      <c r="HR252" s="38"/>
      <c r="HS252" s="38"/>
      <c r="HT252" s="38"/>
      <c r="HU252" s="38"/>
      <c r="HV252" s="38"/>
      <c r="HW252" s="38"/>
      <c r="HX252" s="38"/>
      <c r="HY252" s="38"/>
      <c r="HZ252" s="38"/>
      <c r="IA252" s="38"/>
      <c r="IB252" s="38"/>
      <c r="IC252" s="38"/>
      <c r="ID252" s="38"/>
      <c r="IE252" s="38"/>
      <c r="IF252" s="38"/>
      <c r="IG252" s="38"/>
      <c r="IH252" s="38"/>
      <c r="II252" s="38"/>
      <c r="IJ252" s="38"/>
      <c r="IK252" s="38"/>
      <c r="IL252" s="38"/>
      <c r="IM252" s="38"/>
      <c r="IN252" s="38"/>
      <c r="IO252" s="38"/>
      <c r="IP252" s="38"/>
      <c r="IQ252" s="38"/>
    </row>
    <row r="253" spans="1:251" s="37" customFormat="1" ht="13.5" customHeight="1" hidden="1">
      <c r="A253" s="130"/>
      <c r="B253" s="49" t="s">
        <v>229</v>
      </c>
      <c r="C253" s="50"/>
      <c r="D253" s="41" t="s">
        <v>197</v>
      </c>
      <c r="E253" s="166" t="s">
        <v>238</v>
      </c>
      <c r="F253" s="52"/>
      <c r="G253" s="52">
        <v>61.23</v>
      </c>
      <c r="H253" s="44">
        <f>I253/(1000/G253)</f>
        <v>2693.5077</v>
      </c>
      <c r="I253" s="44">
        <v>43990</v>
      </c>
      <c r="J253" s="45"/>
      <c r="K253" s="114"/>
      <c r="GL253" s="38"/>
      <c r="GM253" s="38"/>
      <c r="GN253" s="38"/>
      <c r="GO253" s="38"/>
      <c r="GP253" s="38"/>
      <c r="GQ253" s="38"/>
      <c r="GR253" s="38"/>
      <c r="GS253" s="38"/>
      <c r="GT253" s="38"/>
      <c r="GU253" s="38"/>
      <c r="GV253" s="38"/>
      <c r="GW253" s="38"/>
      <c r="GX253" s="38"/>
      <c r="GY253" s="38"/>
      <c r="GZ253" s="38"/>
      <c r="HA253" s="38"/>
      <c r="HB253" s="38"/>
      <c r="HC253" s="38"/>
      <c r="HD253" s="38"/>
      <c r="HE253" s="38"/>
      <c r="HF253" s="38"/>
      <c r="HG253" s="38"/>
      <c r="HH253" s="38"/>
      <c r="HI253" s="38"/>
      <c r="HJ253" s="38"/>
      <c r="HK253" s="38"/>
      <c r="HL253" s="38"/>
      <c r="HM253" s="38"/>
      <c r="HN253" s="38"/>
      <c r="HO253" s="38"/>
      <c r="HP253" s="38"/>
      <c r="HQ253" s="38"/>
      <c r="HR253" s="38"/>
      <c r="HS253" s="38"/>
      <c r="HT253" s="38"/>
      <c r="HU253" s="38"/>
      <c r="HV253" s="38"/>
      <c r="HW253" s="38"/>
      <c r="HX253" s="38"/>
      <c r="HY253" s="38"/>
      <c r="HZ253" s="38"/>
      <c r="IA253" s="38"/>
      <c r="IB253" s="38"/>
      <c r="IC253" s="38"/>
      <c r="ID253" s="38"/>
      <c r="IE253" s="38"/>
      <c r="IF253" s="38"/>
      <c r="IG253" s="38"/>
      <c r="IH253" s="38"/>
      <c r="II253" s="38"/>
      <c r="IJ253" s="38"/>
      <c r="IK253" s="38"/>
      <c r="IL253" s="38"/>
      <c r="IM253" s="38"/>
      <c r="IN253" s="38"/>
      <c r="IO253" s="38"/>
      <c r="IP253" s="38"/>
      <c r="IQ253" s="38"/>
    </row>
    <row r="254" spans="1:251" s="37" customFormat="1" ht="13.5" customHeight="1" hidden="1">
      <c r="A254" s="130"/>
      <c r="B254" s="49" t="s">
        <v>239</v>
      </c>
      <c r="C254" s="50"/>
      <c r="D254" s="41" t="s">
        <v>197</v>
      </c>
      <c r="E254" s="166"/>
      <c r="F254" s="52"/>
      <c r="G254" s="52" t="s">
        <v>240</v>
      </c>
      <c r="H254" s="44"/>
      <c r="I254" s="203">
        <v>101990</v>
      </c>
      <c r="J254" s="45"/>
      <c r="K254" s="114"/>
      <c r="GL254" s="38"/>
      <c r="GM254" s="38"/>
      <c r="GN254" s="38"/>
      <c r="GO254" s="38"/>
      <c r="GP254" s="38"/>
      <c r="GQ254" s="38"/>
      <c r="GR254" s="38"/>
      <c r="GS254" s="38"/>
      <c r="GT254" s="38"/>
      <c r="GU254" s="38"/>
      <c r="GV254" s="38"/>
      <c r="GW254" s="38"/>
      <c r="GX254" s="38"/>
      <c r="GY254" s="38"/>
      <c r="GZ254" s="38"/>
      <c r="HA254" s="38"/>
      <c r="HB254" s="38"/>
      <c r="HC254" s="38"/>
      <c r="HD254" s="38"/>
      <c r="HE254" s="38"/>
      <c r="HF254" s="38"/>
      <c r="HG254" s="38"/>
      <c r="HH254" s="38"/>
      <c r="HI254" s="38"/>
      <c r="HJ254" s="38"/>
      <c r="HK254" s="38"/>
      <c r="HL254" s="38"/>
      <c r="HM254" s="38"/>
      <c r="HN254" s="38"/>
      <c r="HO254" s="38"/>
      <c r="HP254" s="38"/>
      <c r="HQ254" s="38"/>
      <c r="HR254" s="38"/>
      <c r="HS254" s="38"/>
      <c r="HT254" s="38"/>
      <c r="HU254" s="38"/>
      <c r="HV254" s="38"/>
      <c r="HW254" s="38"/>
      <c r="HX254" s="38"/>
      <c r="HY254" s="38"/>
      <c r="HZ254" s="38"/>
      <c r="IA254" s="38"/>
      <c r="IB254" s="38"/>
      <c r="IC254" s="38"/>
      <c r="ID254" s="38"/>
      <c r="IE254" s="38"/>
      <c r="IF254" s="38"/>
      <c r="IG254" s="38"/>
      <c r="IH254" s="38"/>
      <c r="II254" s="38"/>
      <c r="IJ254" s="38"/>
      <c r="IK254" s="38"/>
      <c r="IL254" s="38"/>
      <c r="IM254" s="38"/>
      <c r="IN254" s="38"/>
      <c r="IO254" s="38"/>
      <c r="IP254" s="38"/>
      <c r="IQ254" s="38"/>
    </row>
    <row r="255" spans="1:251" s="37" customFormat="1" ht="13.5" customHeight="1" hidden="1">
      <c r="A255" s="130"/>
      <c r="B255" s="49" t="s">
        <v>241</v>
      </c>
      <c r="C255" s="50"/>
      <c r="D255" s="41" t="s">
        <v>197</v>
      </c>
      <c r="E255" s="166" t="s">
        <v>242</v>
      </c>
      <c r="F255" s="52"/>
      <c r="G255" s="52">
        <v>46.48</v>
      </c>
      <c r="H255" s="44">
        <f>I255/(1000/G255)</f>
        <v>2044.6552</v>
      </c>
      <c r="I255" s="44">
        <v>43990</v>
      </c>
      <c r="J255" s="44"/>
      <c r="K255" s="114"/>
      <c r="GL255" s="38"/>
      <c r="GM255" s="38"/>
      <c r="GN255" s="38"/>
      <c r="GO255" s="38"/>
      <c r="GP255" s="38"/>
      <c r="GQ255" s="38"/>
      <c r="GR255" s="38"/>
      <c r="GS255" s="38"/>
      <c r="GT255" s="38"/>
      <c r="GU255" s="38"/>
      <c r="GV255" s="38"/>
      <c r="GW255" s="38"/>
      <c r="GX255" s="38"/>
      <c r="GY255" s="38"/>
      <c r="GZ255" s="38"/>
      <c r="HA255" s="38"/>
      <c r="HB255" s="38"/>
      <c r="HC255" s="38"/>
      <c r="HD255" s="38"/>
      <c r="HE255" s="38"/>
      <c r="HF255" s="38"/>
      <c r="HG255" s="38"/>
      <c r="HH255" s="38"/>
      <c r="HI255" s="38"/>
      <c r="HJ255" s="38"/>
      <c r="HK255" s="38"/>
      <c r="HL255" s="38"/>
      <c r="HM255" s="38"/>
      <c r="HN255" s="38"/>
      <c r="HO255" s="38"/>
      <c r="HP255" s="38"/>
      <c r="HQ255" s="38"/>
      <c r="HR255" s="38"/>
      <c r="HS255" s="38"/>
      <c r="HT255" s="38"/>
      <c r="HU255" s="38"/>
      <c r="HV255" s="38"/>
      <c r="HW255" s="38"/>
      <c r="HX255" s="38"/>
      <c r="HY255" s="38"/>
      <c r="HZ255" s="38"/>
      <c r="IA255" s="38"/>
      <c r="IB255" s="38"/>
      <c r="IC255" s="38"/>
      <c r="ID255" s="38"/>
      <c r="IE255" s="38"/>
      <c r="IF255" s="38"/>
      <c r="IG255" s="38"/>
      <c r="IH255" s="38"/>
      <c r="II255" s="38"/>
      <c r="IJ255" s="38"/>
      <c r="IK255" s="38"/>
      <c r="IL255" s="38"/>
      <c r="IM255" s="38"/>
      <c r="IN255" s="38"/>
      <c r="IO255" s="38"/>
      <c r="IP255" s="38"/>
      <c r="IQ255" s="38"/>
    </row>
    <row r="256" spans="1:251" s="37" customFormat="1" ht="13.5" customHeight="1" hidden="1">
      <c r="A256" s="130"/>
      <c r="B256" s="49" t="s">
        <v>241</v>
      </c>
      <c r="C256" s="50"/>
      <c r="D256" s="41" t="s">
        <v>197</v>
      </c>
      <c r="E256" s="166" t="s">
        <v>181</v>
      </c>
      <c r="F256" s="52"/>
      <c r="G256" s="52">
        <v>38</v>
      </c>
      <c r="H256" s="44">
        <f>I256/(1000/G256)</f>
        <v>1671.6200000000001</v>
      </c>
      <c r="I256" s="44">
        <v>43990</v>
      </c>
      <c r="J256" s="45"/>
      <c r="K256" s="114"/>
      <c r="GL256" s="38"/>
      <c r="GM256" s="38"/>
      <c r="GN256" s="38"/>
      <c r="GO256" s="38"/>
      <c r="GP256" s="38"/>
      <c r="GQ256" s="38"/>
      <c r="GR256" s="38"/>
      <c r="GS256" s="38"/>
      <c r="GT256" s="38"/>
      <c r="GU256" s="38"/>
      <c r="GV256" s="38"/>
      <c r="GW256" s="38"/>
      <c r="GX256" s="38"/>
      <c r="GY256" s="38"/>
      <c r="GZ256" s="38"/>
      <c r="HA256" s="38"/>
      <c r="HB256" s="38"/>
      <c r="HC256" s="38"/>
      <c r="HD256" s="38"/>
      <c r="HE256" s="38"/>
      <c r="HF256" s="38"/>
      <c r="HG256" s="38"/>
      <c r="HH256" s="38"/>
      <c r="HI256" s="38"/>
      <c r="HJ256" s="38"/>
      <c r="HK256" s="38"/>
      <c r="HL256" s="38"/>
      <c r="HM256" s="38"/>
      <c r="HN256" s="38"/>
      <c r="HO256" s="38"/>
      <c r="HP256" s="38"/>
      <c r="HQ256" s="38"/>
      <c r="HR256" s="38"/>
      <c r="HS256" s="38"/>
      <c r="HT256" s="38"/>
      <c r="HU256" s="38"/>
      <c r="HV256" s="38"/>
      <c r="HW256" s="38"/>
      <c r="HX256" s="38"/>
      <c r="HY256" s="38"/>
      <c r="HZ256" s="38"/>
      <c r="IA256" s="38"/>
      <c r="IB256" s="38"/>
      <c r="IC256" s="38"/>
      <c r="ID256" s="38"/>
      <c r="IE256" s="38"/>
      <c r="IF256" s="38"/>
      <c r="IG256" s="38"/>
      <c r="IH256" s="38"/>
      <c r="II256" s="38"/>
      <c r="IJ256" s="38"/>
      <c r="IK256" s="38"/>
      <c r="IL256" s="38"/>
      <c r="IM256" s="38"/>
      <c r="IN256" s="38"/>
      <c r="IO256" s="38"/>
      <c r="IP256" s="38"/>
      <c r="IQ256" s="38"/>
    </row>
    <row r="257" spans="1:251" s="37" customFormat="1" ht="13.5" customHeight="1" hidden="1">
      <c r="A257" s="130"/>
      <c r="B257" s="49" t="s">
        <v>241</v>
      </c>
      <c r="C257" s="50"/>
      <c r="D257" s="41" t="s">
        <v>197</v>
      </c>
      <c r="E257" s="166" t="s">
        <v>232</v>
      </c>
      <c r="F257" s="52"/>
      <c r="G257" s="52">
        <v>41.36</v>
      </c>
      <c r="H257" s="44">
        <f>I257/(1000/G257)</f>
        <v>1819.4264</v>
      </c>
      <c r="I257" s="44">
        <v>43990</v>
      </c>
      <c r="J257" s="44"/>
      <c r="K257" s="114"/>
      <c r="GL257" s="38"/>
      <c r="GM257" s="38"/>
      <c r="GN257" s="38"/>
      <c r="GO257" s="38"/>
      <c r="GP257" s="38"/>
      <c r="GQ257" s="38"/>
      <c r="GR257" s="38"/>
      <c r="GS257" s="38"/>
      <c r="GT257" s="38"/>
      <c r="GU257" s="38"/>
      <c r="GV257" s="38"/>
      <c r="GW257" s="38"/>
      <c r="GX257" s="38"/>
      <c r="GY257" s="38"/>
      <c r="GZ257" s="38"/>
      <c r="HA257" s="38"/>
      <c r="HB257" s="38"/>
      <c r="HC257" s="38"/>
      <c r="HD257" s="38"/>
      <c r="HE257" s="38"/>
      <c r="HF257" s="38"/>
      <c r="HG257" s="38"/>
      <c r="HH257" s="38"/>
      <c r="HI257" s="38"/>
      <c r="HJ257" s="38"/>
      <c r="HK257" s="38"/>
      <c r="HL257" s="38"/>
      <c r="HM257" s="38"/>
      <c r="HN257" s="38"/>
      <c r="HO257" s="38"/>
      <c r="HP257" s="38"/>
      <c r="HQ257" s="38"/>
      <c r="HR257" s="38"/>
      <c r="HS257" s="38"/>
      <c r="HT257" s="38"/>
      <c r="HU257" s="38"/>
      <c r="HV257" s="38"/>
      <c r="HW257" s="38"/>
      <c r="HX257" s="38"/>
      <c r="HY257" s="38"/>
      <c r="HZ257" s="38"/>
      <c r="IA257" s="38"/>
      <c r="IB257" s="38"/>
      <c r="IC257" s="38"/>
      <c r="ID257" s="38"/>
      <c r="IE257" s="38"/>
      <c r="IF257" s="38"/>
      <c r="IG257" s="38"/>
      <c r="IH257" s="38"/>
      <c r="II257" s="38"/>
      <c r="IJ257" s="38"/>
      <c r="IK257" s="38"/>
      <c r="IL257" s="38"/>
      <c r="IM257" s="38"/>
      <c r="IN257" s="38"/>
      <c r="IO257" s="38"/>
      <c r="IP257" s="38"/>
      <c r="IQ257" s="38"/>
    </row>
    <row r="258" spans="1:251" s="37" customFormat="1" ht="13.5" customHeight="1" hidden="1">
      <c r="A258" s="130"/>
      <c r="B258" s="49" t="s">
        <v>241</v>
      </c>
      <c r="C258" s="50"/>
      <c r="D258" s="41" t="s">
        <v>197</v>
      </c>
      <c r="E258" s="166" t="s">
        <v>243</v>
      </c>
      <c r="F258" s="52"/>
      <c r="G258" s="52">
        <v>45.12</v>
      </c>
      <c r="H258" s="44">
        <f>I258/(1000/G258)</f>
        <v>1984.8288</v>
      </c>
      <c r="I258" s="44">
        <v>43990</v>
      </c>
      <c r="J258" s="44"/>
      <c r="K258" s="114"/>
      <c r="GL258" s="38"/>
      <c r="GM258" s="38"/>
      <c r="GN258" s="38"/>
      <c r="GO258" s="38"/>
      <c r="GP258" s="38"/>
      <c r="GQ258" s="38"/>
      <c r="GR258" s="38"/>
      <c r="GS258" s="38"/>
      <c r="GT258" s="38"/>
      <c r="GU258" s="38"/>
      <c r="GV258" s="38"/>
      <c r="GW258" s="38"/>
      <c r="GX258" s="38"/>
      <c r="GY258" s="38"/>
      <c r="GZ258" s="38"/>
      <c r="HA258" s="38"/>
      <c r="HB258" s="38"/>
      <c r="HC258" s="38"/>
      <c r="HD258" s="38"/>
      <c r="HE258" s="38"/>
      <c r="HF258" s="38"/>
      <c r="HG258" s="38"/>
      <c r="HH258" s="38"/>
      <c r="HI258" s="38"/>
      <c r="HJ258" s="38"/>
      <c r="HK258" s="38"/>
      <c r="HL258" s="38"/>
      <c r="HM258" s="38"/>
      <c r="HN258" s="38"/>
      <c r="HO258" s="38"/>
      <c r="HP258" s="38"/>
      <c r="HQ258" s="38"/>
      <c r="HR258" s="38"/>
      <c r="HS258" s="38"/>
      <c r="HT258" s="38"/>
      <c r="HU258" s="38"/>
      <c r="HV258" s="38"/>
      <c r="HW258" s="38"/>
      <c r="HX258" s="38"/>
      <c r="HY258" s="38"/>
      <c r="HZ258" s="38"/>
      <c r="IA258" s="38"/>
      <c r="IB258" s="38"/>
      <c r="IC258" s="38"/>
      <c r="ID258" s="38"/>
      <c r="IE258" s="38"/>
      <c r="IF258" s="38"/>
      <c r="IG258" s="38"/>
      <c r="IH258" s="38"/>
      <c r="II258" s="38"/>
      <c r="IJ258" s="38"/>
      <c r="IK258" s="38"/>
      <c r="IL258" s="38"/>
      <c r="IM258" s="38"/>
      <c r="IN258" s="38"/>
      <c r="IO258" s="38"/>
      <c r="IP258" s="38"/>
      <c r="IQ258" s="38"/>
    </row>
    <row r="259" spans="1:251" s="37" customFormat="1" ht="13.5" customHeight="1" hidden="1">
      <c r="A259" s="130"/>
      <c r="B259" s="49" t="s">
        <v>241</v>
      </c>
      <c r="C259" s="50"/>
      <c r="D259" s="41" t="s">
        <v>197</v>
      </c>
      <c r="E259" s="166" t="s">
        <v>223</v>
      </c>
      <c r="F259" s="52"/>
      <c r="G259" s="52">
        <v>47</v>
      </c>
      <c r="H259" s="44">
        <f>I259/(1000/G259)</f>
        <v>2067.53</v>
      </c>
      <c r="I259" s="44">
        <v>43990</v>
      </c>
      <c r="J259" s="44"/>
      <c r="K259" s="114"/>
      <c r="GL259" s="38"/>
      <c r="GM259" s="38"/>
      <c r="GN259" s="38"/>
      <c r="GO259" s="38"/>
      <c r="GP259" s="38"/>
      <c r="GQ259" s="38"/>
      <c r="GR259" s="38"/>
      <c r="GS259" s="38"/>
      <c r="GT259" s="38"/>
      <c r="GU259" s="38"/>
      <c r="GV259" s="38"/>
      <c r="GW259" s="38"/>
      <c r="GX259" s="38"/>
      <c r="GY259" s="38"/>
      <c r="GZ259" s="38"/>
      <c r="HA259" s="38"/>
      <c r="HB259" s="38"/>
      <c r="HC259" s="38"/>
      <c r="HD259" s="38"/>
      <c r="HE259" s="38"/>
      <c r="HF259" s="38"/>
      <c r="HG259" s="38"/>
      <c r="HH259" s="38"/>
      <c r="HI259" s="38"/>
      <c r="HJ259" s="38"/>
      <c r="HK259" s="38"/>
      <c r="HL259" s="38"/>
      <c r="HM259" s="38"/>
      <c r="HN259" s="38"/>
      <c r="HO259" s="38"/>
      <c r="HP259" s="38"/>
      <c r="HQ259" s="38"/>
      <c r="HR259" s="38"/>
      <c r="HS259" s="38"/>
      <c r="HT259" s="38"/>
      <c r="HU259" s="38"/>
      <c r="HV259" s="38"/>
      <c r="HW259" s="38"/>
      <c r="HX259" s="38"/>
      <c r="HY259" s="38"/>
      <c r="HZ259" s="38"/>
      <c r="IA259" s="38"/>
      <c r="IB259" s="38"/>
      <c r="IC259" s="38"/>
      <c r="ID259" s="38"/>
      <c r="IE259" s="38"/>
      <c r="IF259" s="38"/>
      <c r="IG259" s="38"/>
      <c r="IH259" s="38"/>
      <c r="II259" s="38"/>
      <c r="IJ259" s="38"/>
      <c r="IK259" s="38"/>
      <c r="IL259" s="38"/>
      <c r="IM259" s="38"/>
      <c r="IN259" s="38"/>
      <c r="IO259" s="38"/>
      <c r="IP259" s="38"/>
      <c r="IQ259" s="38"/>
    </row>
    <row r="260" spans="1:251" s="37" customFormat="1" ht="13.5" customHeight="1" hidden="1">
      <c r="A260" s="130"/>
      <c r="B260" s="49" t="s">
        <v>241</v>
      </c>
      <c r="C260" s="50"/>
      <c r="D260" s="41" t="s">
        <v>197</v>
      </c>
      <c r="E260" s="166"/>
      <c r="F260" s="52"/>
      <c r="G260" s="52" t="s">
        <v>244</v>
      </c>
      <c r="H260" s="44"/>
      <c r="I260" s="44">
        <v>43990</v>
      </c>
      <c r="J260" s="44"/>
      <c r="K260" s="114"/>
      <c r="GL260" s="38"/>
      <c r="GM260" s="38"/>
      <c r="GN260" s="38"/>
      <c r="GO260" s="38"/>
      <c r="GP260" s="38"/>
      <c r="GQ260" s="38"/>
      <c r="GR260" s="38"/>
      <c r="GS260" s="38"/>
      <c r="GT260" s="38"/>
      <c r="GU260" s="38"/>
      <c r="GV260" s="38"/>
      <c r="GW260" s="38"/>
      <c r="GX260" s="38"/>
      <c r="GY260" s="38"/>
      <c r="GZ260" s="38"/>
      <c r="HA260" s="38"/>
      <c r="HB260" s="38"/>
      <c r="HC260" s="38"/>
      <c r="HD260" s="38"/>
      <c r="HE260" s="38"/>
      <c r="HF260" s="38"/>
      <c r="HG260" s="38"/>
      <c r="HH260" s="38"/>
      <c r="HI260" s="38"/>
      <c r="HJ260" s="38"/>
      <c r="HK260" s="38"/>
      <c r="HL260" s="38"/>
      <c r="HM260" s="38"/>
      <c r="HN260" s="38"/>
      <c r="HO260" s="38"/>
      <c r="HP260" s="38"/>
      <c r="HQ260" s="38"/>
      <c r="HR260" s="38"/>
      <c r="HS260" s="38"/>
      <c r="HT260" s="38"/>
      <c r="HU260" s="38"/>
      <c r="HV260" s="38"/>
      <c r="HW260" s="38"/>
      <c r="HX260" s="38"/>
      <c r="HY260" s="38"/>
      <c r="HZ260" s="38"/>
      <c r="IA260" s="38"/>
      <c r="IB260" s="38"/>
      <c r="IC260" s="38"/>
      <c r="ID260" s="38"/>
      <c r="IE260" s="38"/>
      <c r="IF260" s="38"/>
      <c r="IG260" s="38"/>
      <c r="IH260" s="38"/>
      <c r="II260" s="38"/>
      <c r="IJ260" s="38"/>
      <c r="IK260" s="38"/>
      <c r="IL260" s="38"/>
      <c r="IM260" s="38"/>
      <c r="IN260" s="38"/>
      <c r="IO260" s="38"/>
      <c r="IP260" s="38"/>
      <c r="IQ260" s="38"/>
    </row>
    <row r="261" spans="1:251" s="37" customFormat="1" ht="13.5" customHeight="1" hidden="1">
      <c r="A261" s="130"/>
      <c r="B261" s="49" t="s">
        <v>241</v>
      </c>
      <c r="C261" s="50"/>
      <c r="D261" s="41" t="s">
        <v>197</v>
      </c>
      <c r="E261" s="166" t="s">
        <v>245</v>
      </c>
      <c r="F261" s="52"/>
      <c r="G261" s="52">
        <v>62.6</v>
      </c>
      <c r="H261" s="44">
        <f aca="true" t="shared" si="19" ref="H261:H269">I261/(1000/G261)</f>
        <v>2753.7740000000003</v>
      </c>
      <c r="I261" s="44">
        <v>43990</v>
      </c>
      <c r="J261" s="44"/>
      <c r="K261" s="114"/>
      <c r="GL261" s="38"/>
      <c r="GM261" s="38"/>
      <c r="GN261" s="38"/>
      <c r="GO261" s="38"/>
      <c r="GP261" s="38"/>
      <c r="GQ261" s="38"/>
      <c r="GR261" s="38"/>
      <c r="GS261" s="38"/>
      <c r="GT261" s="38"/>
      <c r="GU261" s="38"/>
      <c r="GV261" s="38"/>
      <c r="GW261" s="38"/>
      <c r="GX261" s="38"/>
      <c r="GY261" s="38"/>
      <c r="GZ261" s="38"/>
      <c r="HA261" s="38"/>
      <c r="HB261" s="38"/>
      <c r="HC261" s="38"/>
      <c r="HD261" s="38"/>
      <c r="HE261" s="38"/>
      <c r="HF261" s="38"/>
      <c r="HG261" s="38"/>
      <c r="HH261" s="38"/>
      <c r="HI261" s="38"/>
      <c r="HJ261" s="38"/>
      <c r="HK261" s="38"/>
      <c r="HL261" s="38"/>
      <c r="HM261" s="38"/>
      <c r="HN261" s="38"/>
      <c r="HO261" s="38"/>
      <c r="HP261" s="38"/>
      <c r="HQ261" s="38"/>
      <c r="HR261" s="38"/>
      <c r="HS261" s="38"/>
      <c r="HT261" s="38"/>
      <c r="HU261" s="38"/>
      <c r="HV261" s="38"/>
      <c r="HW261" s="38"/>
      <c r="HX261" s="38"/>
      <c r="HY261" s="38"/>
      <c r="HZ261" s="38"/>
      <c r="IA261" s="38"/>
      <c r="IB261" s="38"/>
      <c r="IC261" s="38"/>
      <c r="ID261" s="38"/>
      <c r="IE261" s="38"/>
      <c r="IF261" s="38"/>
      <c r="IG261" s="38"/>
      <c r="IH261" s="38"/>
      <c r="II261" s="38"/>
      <c r="IJ261" s="38"/>
      <c r="IK261" s="38"/>
      <c r="IL261" s="38"/>
      <c r="IM261" s="38"/>
      <c r="IN261" s="38"/>
      <c r="IO261" s="38"/>
      <c r="IP261" s="38"/>
      <c r="IQ261" s="38"/>
    </row>
    <row r="262" spans="1:251" s="37" customFormat="1" ht="13.5" customHeight="1" hidden="1">
      <c r="A262" s="130"/>
      <c r="B262" s="49" t="s">
        <v>241</v>
      </c>
      <c r="C262" s="50"/>
      <c r="D262" s="41" t="s">
        <v>197</v>
      </c>
      <c r="E262" s="166" t="s">
        <v>246</v>
      </c>
      <c r="F262" s="52"/>
      <c r="G262" s="52">
        <v>63.8</v>
      </c>
      <c r="H262" s="44">
        <f t="shared" si="19"/>
        <v>2806.562</v>
      </c>
      <c r="I262" s="44">
        <v>43990</v>
      </c>
      <c r="J262" s="44"/>
      <c r="K262" s="114"/>
      <c r="GL262" s="38"/>
      <c r="GM262" s="38"/>
      <c r="GN262" s="38"/>
      <c r="GO262" s="38"/>
      <c r="GP262" s="38"/>
      <c r="GQ262" s="38"/>
      <c r="GR262" s="38"/>
      <c r="GS262" s="38"/>
      <c r="GT262" s="38"/>
      <c r="GU262" s="38"/>
      <c r="GV262" s="38"/>
      <c r="GW262" s="38"/>
      <c r="GX262" s="38"/>
      <c r="GY262" s="38"/>
      <c r="GZ262" s="38"/>
      <c r="HA262" s="38"/>
      <c r="HB262" s="38"/>
      <c r="HC262" s="38"/>
      <c r="HD262" s="38"/>
      <c r="HE262" s="38"/>
      <c r="HF262" s="38"/>
      <c r="HG262" s="38"/>
      <c r="HH262" s="38"/>
      <c r="HI262" s="38"/>
      <c r="HJ262" s="38"/>
      <c r="HK262" s="38"/>
      <c r="HL262" s="38"/>
      <c r="HM262" s="38"/>
      <c r="HN262" s="38"/>
      <c r="HO262" s="38"/>
      <c r="HP262" s="38"/>
      <c r="HQ262" s="38"/>
      <c r="HR262" s="38"/>
      <c r="HS262" s="38"/>
      <c r="HT262" s="38"/>
      <c r="HU262" s="38"/>
      <c r="HV262" s="38"/>
      <c r="HW262" s="38"/>
      <c r="HX262" s="38"/>
      <c r="HY262" s="38"/>
      <c r="HZ262" s="38"/>
      <c r="IA262" s="38"/>
      <c r="IB262" s="38"/>
      <c r="IC262" s="38"/>
      <c r="ID262" s="38"/>
      <c r="IE262" s="38"/>
      <c r="IF262" s="38"/>
      <c r="IG262" s="38"/>
      <c r="IH262" s="38"/>
      <c r="II262" s="38"/>
      <c r="IJ262" s="38"/>
      <c r="IK262" s="38"/>
      <c r="IL262" s="38"/>
      <c r="IM262" s="38"/>
      <c r="IN262" s="38"/>
      <c r="IO262" s="38"/>
      <c r="IP262" s="38"/>
      <c r="IQ262" s="38"/>
    </row>
    <row r="263" spans="1:251" s="37" customFormat="1" ht="13.5" customHeight="1" hidden="1">
      <c r="A263" s="130"/>
      <c r="B263" s="49" t="s">
        <v>241</v>
      </c>
      <c r="C263" s="50"/>
      <c r="D263" s="41" t="s">
        <v>197</v>
      </c>
      <c r="E263" s="166" t="s">
        <v>234</v>
      </c>
      <c r="F263" s="52"/>
      <c r="G263" s="52">
        <v>56.4</v>
      </c>
      <c r="H263" s="44">
        <f t="shared" si="19"/>
        <v>2481.036</v>
      </c>
      <c r="I263" s="44">
        <v>43990</v>
      </c>
      <c r="J263" s="44"/>
      <c r="K263" s="114"/>
      <c r="GL263" s="38"/>
      <c r="GM263" s="38"/>
      <c r="GN263" s="38"/>
      <c r="GO263" s="38"/>
      <c r="GP263" s="38"/>
      <c r="GQ263" s="38"/>
      <c r="GR263" s="38"/>
      <c r="GS263" s="38"/>
      <c r="GT263" s="38"/>
      <c r="GU263" s="38"/>
      <c r="GV263" s="38"/>
      <c r="GW263" s="38"/>
      <c r="GX263" s="38"/>
      <c r="GY263" s="38"/>
      <c r="GZ263" s="38"/>
      <c r="HA263" s="38"/>
      <c r="HB263" s="38"/>
      <c r="HC263" s="38"/>
      <c r="HD263" s="38"/>
      <c r="HE263" s="38"/>
      <c r="HF263" s="38"/>
      <c r="HG263" s="38"/>
      <c r="HH263" s="38"/>
      <c r="HI263" s="38"/>
      <c r="HJ263" s="38"/>
      <c r="HK263" s="38"/>
      <c r="HL263" s="38"/>
      <c r="HM263" s="38"/>
      <c r="HN263" s="38"/>
      <c r="HO263" s="38"/>
      <c r="HP263" s="38"/>
      <c r="HQ263" s="38"/>
      <c r="HR263" s="38"/>
      <c r="HS263" s="38"/>
      <c r="HT263" s="38"/>
      <c r="HU263" s="38"/>
      <c r="HV263" s="38"/>
      <c r="HW263" s="38"/>
      <c r="HX263" s="38"/>
      <c r="HY263" s="38"/>
      <c r="HZ263" s="38"/>
      <c r="IA263" s="38"/>
      <c r="IB263" s="38"/>
      <c r="IC263" s="38"/>
      <c r="ID263" s="38"/>
      <c r="IE263" s="38"/>
      <c r="IF263" s="38"/>
      <c r="IG263" s="38"/>
      <c r="IH263" s="38"/>
      <c r="II263" s="38"/>
      <c r="IJ263" s="38"/>
      <c r="IK263" s="38"/>
      <c r="IL263" s="38"/>
      <c r="IM263" s="38"/>
      <c r="IN263" s="38"/>
      <c r="IO263" s="38"/>
      <c r="IP263" s="38"/>
      <c r="IQ263" s="38"/>
    </row>
    <row r="264" spans="1:251" s="37" customFormat="1" ht="13.5" customHeight="1" hidden="1">
      <c r="A264" s="130"/>
      <c r="B264" s="49" t="s">
        <v>241</v>
      </c>
      <c r="C264" s="50"/>
      <c r="D264" s="41" t="s">
        <v>197</v>
      </c>
      <c r="E264" s="166" t="s">
        <v>247</v>
      </c>
      <c r="F264" s="52"/>
      <c r="G264" s="52">
        <v>62</v>
      </c>
      <c r="H264" s="44">
        <f t="shared" si="19"/>
        <v>2727.38</v>
      </c>
      <c r="I264" s="44">
        <v>43990</v>
      </c>
      <c r="J264" s="44"/>
      <c r="K264" s="114"/>
      <c r="GL264" s="38"/>
      <c r="GM264" s="38"/>
      <c r="GN264" s="38"/>
      <c r="GO264" s="38"/>
      <c r="GP264" s="38"/>
      <c r="GQ264" s="38"/>
      <c r="GR264" s="38"/>
      <c r="GS264" s="38"/>
      <c r="GT264" s="38"/>
      <c r="GU264" s="38"/>
      <c r="GV264" s="38"/>
      <c r="GW264" s="38"/>
      <c r="GX264" s="38"/>
      <c r="GY264" s="38"/>
      <c r="GZ264" s="38"/>
      <c r="HA264" s="38"/>
      <c r="HB264" s="38"/>
      <c r="HC264" s="38"/>
      <c r="HD264" s="38"/>
      <c r="HE264" s="38"/>
      <c r="HF264" s="38"/>
      <c r="HG264" s="38"/>
      <c r="HH264" s="38"/>
      <c r="HI264" s="38"/>
      <c r="HJ264" s="38"/>
      <c r="HK264" s="38"/>
      <c r="HL264" s="38"/>
      <c r="HM264" s="38"/>
      <c r="HN264" s="38"/>
      <c r="HO264" s="38"/>
      <c r="HP264" s="38"/>
      <c r="HQ264" s="38"/>
      <c r="HR264" s="38"/>
      <c r="HS264" s="38"/>
      <c r="HT264" s="38"/>
      <c r="HU264" s="38"/>
      <c r="HV264" s="38"/>
      <c r="HW264" s="38"/>
      <c r="HX264" s="38"/>
      <c r="HY264" s="38"/>
      <c r="HZ264" s="38"/>
      <c r="IA264" s="38"/>
      <c r="IB264" s="38"/>
      <c r="IC264" s="38"/>
      <c r="ID264" s="38"/>
      <c r="IE264" s="38"/>
      <c r="IF264" s="38"/>
      <c r="IG264" s="38"/>
      <c r="IH264" s="38"/>
      <c r="II264" s="38"/>
      <c r="IJ264" s="38"/>
      <c r="IK264" s="38"/>
      <c r="IL264" s="38"/>
      <c r="IM264" s="38"/>
      <c r="IN264" s="38"/>
      <c r="IO264" s="38"/>
      <c r="IP264" s="38"/>
      <c r="IQ264" s="38"/>
    </row>
    <row r="265" spans="1:251" s="37" customFormat="1" ht="13.5" customHeight="1" hidden="1">
      <c r="A265" s="130"/>
      <c r="B265" s="49" t="s">
        <v>241</v>
      </c>
      <c r="C265" s="50"/>
      <c r="D265" s="41" t="s">
        <v>197</v>
      </c>
      <c r="E265" s="166" t="s">
        <v>248</v>
      </c>
      <c r="F265" s="52"/>
      <c r="G265" s="52">
        <v>60</v>
      </c>
      <c r="H265" s="44">
        <f t="shared" si="19"/>
        <v>2639.3999999999996</v>
      </c>
      <c r="I265" s="44">
        <v>43990</v>
      </c>
      <c r="J265" s="44"/>
      <c r="K265" s="114"/>
      <c r="GL265" s="38"/>
      <c r="GM265" s="38"/>
      <c r="GN265" s="38"/>
      <c r="GO265" s="38"/>
      <c r="GP265" s="38"/>
      <c r="GQ265" s="38"/>
      <c r="GR265" s="38"/>
      <c r="GS265" s="38"/>
      <c r="GT265" s="38"/>
      <c r="GU265" s="38"/>
      <c r="GV265" s="38"/>
      <c r="GW265" s="38"/>
      <c r="GX265" s="38"/>
      <c r="GY265" s="38"/>
      <c r="GZ265" s="38"/>
      <c r="HA265" s="38"/>
      <c r="HB265" s="38"/>
      <c r="HC265" s="38"/>
      <c r="HD265" s="38"/>
      <c r="HE265" s="38"/>
      <c r="HF265" s="38"/>
      <c r="HG265" s="38"/>
      <c r="HH265" s="38"/>
      <c r="HI265" s="38"/>
      <c r="HJ265" s="38"/>
      <c r="HK265" s="38"/>
      <c r="HL265" s="38"/>
      <c r="HM265" s="38"/>
      <c r="HN265" s="38"/>
      <c r="HO265" s="38"/>
      <c r="HP265" s="38"/>
      <c r="HQ265" s="38"/>
      <c r="HR265" s="38"/>
      <c r="HS265" s="38"/>
      <c r="HT265" s="38"/>
      <c r="HU265" s="38"/>
      <c r="HV265" s="38"/>
      <c r="HW265" s="38"/>
      <c r="HX265" s="38"/>
      <c r="HY265" s="38"/>
      <c r="HZ265" s="38"/>
      <c r="IA265" s="38"/>
      <c r="IB265" s="38"/>
      <c r="IC265" s="38"/>
      <c r="ID265" s="38"/>
      <c r="IE265" s="38"/>
      <c r="IF265" s="38"/>
      <c r="IG265" s="38"/>
      <c r="IH265" s="38"/>
      <c r="II265" s="38"/>
      <c r="IJ265" s="38"/>
      <c r="IK265" s="38"/>
      <c r="IL265" s="38"/>
      <c r="IM265" s="38"/>
      <c r="IN265" s="38"/>
      <c r="IO265" s="38"/>
      <c r="IP265" s="38"/>
      <c r="IQ265" s="38"/>
    </row>
    <row r="266" spans="1:251" s="37" customFormat="1" ht="13.5" customHeight="1" hidden="1">
      <c r="A266" s="130"/>
      <c r="B266" s="49" t="s">
        <v>241</v>
      </c>
      <c r="C266" s="50"/>
      <c r="D266" s="41" t="s">
        <v>197</v>
      </c>
      <c r="E266" s="166" t="s">
        <v>249</v>
      </c>
      <c r="F266" s="52"/>
      <c r="G266" s="52">
        <v>63.17</v>
      </c>
      <c r="H266" s="44">
        <f t="shared" si="19"/>
        <v>2778.8483</v>
      </c>
      <c r="I266" s="44">
        <v>43990</v>
      </c>
      <c r="J266" s="44"/>
      <c r="K266" s="114"/>
      <c r="GL266" s="38"/>
      <c r="GM266" s="38"/>
      <c r="GN266" s="38"/>
      <c r="GO266" s="38"/>
      <c r="GP266" s="38"/>
      <c r="GQ266" s="38"/>
      <c r="GR266" s="38"/>
      <c r="GS266" s="38"/>
      <c r="GT266" s="38"/>
      <c r="GU266" s="38"/>
      <c r="GV266" s="38"/>
      <c r="GW266" s="38"/>
      <c r="GX266" s="38"/>
      <c r="GY266" s="38"/>
      <c r="GZ266" s="38"/>
      <c r="HA266" s="38"/>
      <c r="HB266" s="38"/>
      <c r="HC266" s="38"/>
      <c r="HD266" s="38"/>
      <c r="HE266" s="38"/>
      <c r="HF266" s="38"/>
      <c r="HG266" s="38"/>
      <c r="HH266" s="38"/>
      <c r="HI266" s="38"/>
      <c r="HJ266" s="38"/>
      <c r="HK266" s="38"/>
      <c r="HL266" s="38"/>
      <c r="HM266" s="38"/>
      <c r="HN266" s="38"/>
      <c r="HO266" s="38"/>
      <c r="HP266" s="38"/>
      <c r="HQ266" s="38"/>
      <c r="HR266" s="38"/>
      <c r="HS266" s="38"/>
      <c r="HT266" s="38"/>
      <c r="HU266" s="38"/>
      <c r="HV266" s="38"/>
      <c r="HW266" s="38"/>
      <c r="HX266" s="38"/>
      <c r="HY266" s="38"/>
      <c r="HZ266" s="38"/>
      <c r="IA266" s="38"/>
      <c r="IB266" s="38"/>
      <c r="IC266" s="38"/>
      <c r="ID266" s="38"/>
      <c r="IE266" s="38"/>
      <c r="IF266" s="38"/>
      <c r="IG266" s="38"/>
      <c r="IH266" s="38"/>
      <c r="II266" s="38"/>
      <c r="IJ266" s="38"/>
      <c r="IK266" s="38"/>
      <c r="IL266" s="38"/>
      <c r="IM266" s="38"/>
      <c r="IN266" s="38"/>
      <c r="IO266" s="38"/>
      <c r="IP266" s="38"/>
      <c r="IQ266" s="38"/>
    </row>
    <row r="267" spans="1:251" s="37" customFormat="1" ht="13.5" customHeight="1" hidden="1">
      <c r="A267" s="130"/>
      <c r="B267" s="49" t="s">
        <v>241</v>
      </c>
      <c r="C267" s="50"/>
      <c r="D267" s="41" t="s">
        <v>197</v>
      </c>
      <c r="E267" s="166" t="s">
        <v>250</v>
      </c>
      <c r="F267" s="52"/>
      <c r="G267" s="52">
        <v>73.4</v>
      </c>
      <c r="H267" s="44">
        <f t="shared" si="19"/>
        <v>3228.866</v>
      </c>
      <c r="I267" s="44">
        <v>43990</v>
      </c>
      <c r="J267" s="44"/>
      <c r="K267" s="114"/>
      <c r="GL267" s="38"/>
      <c r="GM267" s="38"/>
      <c r="GN267" s="38"/>
      <c r="GO267" s="38"/>
      <c r="GP267" s="38"/>
      <c r="GQ267" s="38"/>
      <c r="GR267" s="38"/>
      <c r="GS267" s="38"/>
      <c r="GT267" s="38"/>
      <c r="GU267" s="38"/>
      <c r="GV267" s="38"/>
      <c r="GW267" s="38"/>
      <c r="GX267" s="38"/>
      <c r="GY267" s="38"/>
      <c r="GZ267" s="38"/>
      <c r="HA267" s="38"/>
      <c r="HB267" s="38"/>
      <c r="HC267" s="38"/>
      <c r="HD267" s="38"/>
      <c r="HE267" s="38"/>
      <c r="HF267" s="38"/>
      <c r="HG267" s="38"/>
      <c r="HH267" s="38"/>
      <c r="HI267" s="38"/>
      <c r="HJ267" s="38"/>
      <c r="HK267" s="38"/>
      <c r="HL267" s="38"/>
      <c r="HM267" s="38"/>
      <c r="HN267" s="38"/>
      <c r="HO267" s="38"/>
      <c r="HP267" s="38"/>
      <c r="HQ267" s="38"/>
      <c r="HR267" s="38"/>
      <c r="HS267" s="38"/>
      <c r="HT267" s="38"/>
      <c r="HU267" s="38"/>
      <c r="HV267" s="38"/>
      <c r="HW267" s="38"/>
      <c r="HX267" s="38"/>
      <c r="HY267" s="38"/>
      <c r="HZ267" s="38"/>
      <c r="IA267" s="38"/>
      <c r="IB267" s="38"/>
      <c r="IC267" s="38"/>
      <c r="ID267" s="38"/>
      <c r="IE267" s="38"/>
      <c r="IF267" s="38"/>
      <c r="IG267" s="38"/>
      <c r="IH267" s="38"/>
      <c r="II267" s="38"/>
      <c r="IJ267" s="38"/>
      <c r="IK267" s="38"/>
      <c r="IL267" s="38"/>
      <c r="IM267" s="38"/>
      <c r="IN267" s="38"/>
      <c r="IO267" s="38"/>
      <c r="IP267" s="38"/>
      <c r="IQ267" s="38"/>
    </row>
    <row r="268" spans="1:251" s="37" customFormat="1" ht="13.5" customHeight="1" hidden="1">
      <c r="A268" s="130"/>
      <c r="B268" s="204" t="s">
        <v>251</v>
      </c>
      <c r="C268" s="205"/>
      <c r="D268" s="206" t="s">
        <v>197</v>
      </c>
      <c r="E268" s="207"/>
      <c r="F268" s="208"/>
      <c r="G268" s="182">
        <v>119</v>
      </c>
      <c r="H268" s="209">
        <f t="shared" si="19"/>
        <v>5234.8099999999995</v>
      </c>
      <c r="I268" s="44">
        <v>43990</v>
      </c>
      <c r="J268" s="45"/>
      <c r="K268" s="46"/>
      <c r="L268" s="210" t="s">
        <v>252</v>
      </c>
      <c r="GL268" s="38"/>
      <c r="GM268" s="38"/>
      <c r="GN268" s="38"/>
      <c r="GO268" s="38"/>
      <c r="GP268" s="38"/>
      <c r="GQ268" s="38"/>
      <c r="GR268" s="38"/>
      <c r="GS268" s="38"/>
      <c r="GT268" s="38"/>
      <c r="GU268" s="38"/>
      <c r="GV268" s="38"/>
      <c r="GW268" s="38"/>
      <c r="GX268" s="38"/>
      <c r="GY268" s="38"/>
      <c r="GZ268" s="38"/>
      <c r="HA268" s="38"/>
      <c r="HB268" s="38"/>
      <c r="HC268" s="38"/>
      <c r="HD268" s="38"/>
      <c r="HE268" s="38"/>
      <c r="HF268" s="38"/>
      <c r="HG268" s="38"/>
      <c r="HH268" s="38"/>
      <c r="HI268" s="38"/>
      <c r="HJ268" s="38"/>
      <c r="HK268" s="38"/>
      <c r="HL268" s="38"/>
      <c r="HM268" s="38"/>
      <c r="HN268" s="38"/>
      <c r="HO268" s="38"/>
      <c r="HP268" s="38"/>
      <c r="HQ268" s="38"/>
      <c r="HR268" s="38"/>
      <c r="HS268" s="38"/>
      <c r="HT268" s="38"/>
      <c r="HU268" s="38"/>
      <c r="HV268" s="38"/>
      <c r="HW268" s="38"/>
      <c r="HX268" s="38"/>
      <c r="HY268" s="38"/>
      <c r="HZ268" s="38"/>
      <c r="IA268" s="38"/>
      <c r="IB268" s="38"/>
      <c r="IC268" s="38"/>
      <c r="ID268" s="38"/>
      <c r="IE268" s="38"/>
      <c r="IF268" s="38"/>
      <c r="IG268" s="38"/>
      <c r="IH268" s="38"/>
      <c r="II268" s="38"/>
      <c r="IJ268" s="38"/>
      <c r="IK268" s="38"/>
      <c r="IL268" s="38"/>
      <c r="IM268" s="38"/>
      <c r="IN268" s="38"/>
      <c r="IO268" s="38"/>
      <c r="IP268" s="38"/>
      <c r="IQ268" s="38"/>
    </row>
    <row r="269" spans="1:251" s="37" customFormat="1" ht="13.5" customHeight="1" hidden="1">
      <c r="A269" s="130"/>
      <c r="B269" s="204" t="s">
        <v>253</v>
      </c>
      <c r="C269" s="205"/>
      <c r="D269" s="206" t="s">
        <v>197</v>
      </c>
      <c r="E269" s="207" t="s">
        <v>254</v>
      </c>
      <c r="F269" s="208"/>
      <c r="G269" s="208">
        <v>81.67</v>
      </c>
      <c r="H269" s="209">
        <f t="shared" si="19"/>
        <v>2429.6825</v>
      </c>
      <c r="I269" s="44">
        <v>29750</v>
      </c>
      <c r="J269" s="209"/>
      <c r="K269" s="131"/>
      <c r="GL269" s="38"/>
      <c r="GM269" s="38"/>
      <c r="GN269" s="38"/>
      <c r="GO269" s="38"/>
      <c r="GP269" s="38"/>
      <c r="GQ269" s="38"/>
      <c r="GR269" s="38"/>
      <c r="GS269" s="38"/>
      <c r="GT269" s="38"/>
      <c r="GU269" s="38"/>
      <c r="GV269" s="38"/>
      <c r="GW269" s="38"/>
      <c r="GX269" s="38"/>
      <c r="GY269" s="38"/>
      <c r="GZ269" s="38"/>
      <c r="HA269" s="38"/>
      <c r="HB269" s="38"/>
      <c r="HC269" s="38"/>
      <c r="HD269" s="38"/>
      <c r="HE269" s="38"/>
      <c r="HF269" s="38"/>
      <c r="HG269" s="38"/>
      <c r="HH269" s="38"/>
      <c r="HI269" s="38"/>
      <c r="HJ269" s="38"/>
      <c r="HK269" s="38"/>
      <c r="HL269" s="38"/>
      <c r="HM269" s="38"/>
      <c r="HN269" s="38"/>
      <c r="HO269" s="38"/>
      <c r="HP269" s="38"/>
      <c r="HQ269" s="38"/>
      <c r="HR269" s="38"/>
      <c r="HS269" s="38"/>
      <c r="HT269" s="38"/>
      <c r="HU269" s="38"/>
      <c r="HV269" s="38"/>
      <c r="HW269" s="38"/>
      <c r="HX269" s="38"/>
      <c r="HY269" s="38"/>
      <c r="HZ269" s="38"/>
      <c r="IA269" s="38"/>
      <c r="IB269" s="38"/>
      <c r="IC269" s="38"/>
      <c r="ID269" s="38"/>
      <c r="IE269" s="38"/>
      <c r="IF269" s="38"/>
      <c r="IG269" s="38"/>
      <c r="IH269" s="38"/>
      <c r="II269" s="38"/>
      <c r="IJ269" s="38"/>
      <c r="IK269" s="38"/>
      <c r="IL269" s="38"/>
      <c r="IM269" s="38"/>
      <c r="IN269" s="38"/>
      <c r="IO269" s="38"/>
      <c r="IP269" s="38"/>
      <c r="IQ269" s="38"/>
    </row>
    <row r="270" spans="1:11" s="54" customFormat="1" ht="21" customHeight="1" hidden="1">
      <c r="A270" s="130"/>
      <c r="B270" s="31" t="s">
        <v>255</v>
      </c>
      <c r="C270" s="71"/>
      <c r="D270" s="34"/>
      <c r="E270" s="34"/>
      <c r="F270" s="34"/>
      <c r="G270" s="34"/>
      <c r="H270" s="34"/>
      <c r="I270" s="34"/>
      <c r="J270" s="34"/>
      <c r="K270" s="72"/>
    </row>
    <row r="271" spans="1:11" s="54" customFormat="1" ht="13.5" customHeight="1" hidden="1">
      <c r="A271" s="130"/>
      <c r="B271" s="98" t="s">
        <v>256</v>
      </c>
      <c r="C271" s="92">
        <v>12</v>
      </c>
      <c r="D271" s="42" t="s">
        <v>200</v>
      </c>
      <c r="E271" s="211" t="s">
        <v>78</v>
      </c>
      <c r="F271" s="43">
        <v>8.1</v>
      </c>
      <c r="G271" s="212">
        <f>E271*F271*1.04</f>
        <v>98.5608</v>
      </c>
      <c r="H271" s="44">
        <f aca="true" t="shared" si="20" ref="H271:H279">I271/(1000/G271)</f>
        <v>2068.7911919999997</v>
      </c>
      <c r="I271" s="45">
        <v>20990</v>
      </c>
      <c r="J271" s="45"/>
      <c r="K271" s="213"/>
    </row>
    <row r="272" spans="1:11" s="54" customFormat="1" ht="13.5" customHeight="1" hidden="1">
      <c r="A272" s="130"/>
      <c r="B272" s="49" t="s">
        <v>257</v>
      </c>
      <c r="C272" s="50">
        <v>35</v>
      </c>
      <c r="D272" s="41" t="s">
        <v>200</v>
      </c>
      <c r="E272" s="113" t="s">
        <v>258</v>
      </c>
      <c r="F272" s="52">
        <f>9.46*1.04</f>
        <v>9.838400000000002</v>
      </c>
      <c r="G272" s="212">
        <f>E272*F272</f>
        <v>88.54560000000002</v>
      </c>
      <c r="H272" s="44">
        <f t="shared" si="20"/>
        <v>3009.6649440000006</v>
      </c>
      <c r="I272" s="44">
        <v>33990</v>
      </c>
      <c r="J272" s="44"/>
      <c r="K272" s="174"/>
    </row>
    <row r="273" spans="1:11" s="54" customFormat="1" ht="13.5" customHeight="1" hidden="1">
      <c r="A273" s="130"/>
      <c r="B273" s="98" t="s">
        <v>259</v>
      </c>
      <c r="C273" s="92">
        <v>40</v>
      </c>
      <c r="D273" s="42" t="s">
        <v>200</v>
      </c>
      <c r="E273" s="211" t="s">
        <v>258</v>
      </c>
      <c r="F273" s="43">
        <v>11.5</v>
      </c>
      <c r="G273" s="212">
        <f>E273*F273</f>
        <v>103.5</v>
      </c>
      <c r="H273" s="44">
        <f t="shared" si="20"/>
        <v>3828.4649999999997</v>
      </c>
      <c r="I273" s="45">
        <v>36990</v>
      </c>
      <c r="J273" s="45"/>
      <c r="K273" s="214"/>
    </row>
    <row r="274" spans="1:11" s="54" customFormat="1" ht="13.5" customHeight="1" hidden="1">
      <c r="A274" s="130"/>
      <c r="B274" s="98" t="s">
        <v>260</v>
      </c>
      <c r="C274" s="92">
        <v>12</v>
      </c>
      <c r="D274" s="42" t="s">
        <v>200</v>
      </c>
      <c r="E274" s="211" t="s">
        <v>78</v>
      </c>
      <c r="F274" s="43">
        <v>8.67</v>
      </c>
      <c r="G274" s="212">
        <f>E274*F274*1.04</f>
        <v>105.49656</v>
      </c>
      <c r="H274" s="44">
        <f t="shared" si="20"/>
        <v>3058.3452744</v>
      </c>
      <c r="I274" s="45">
        <v>28990</v>
      </c>
      <c r="J274" s="45"/>
      <c r="K274" s="215"/>
    </row>
    <row r="275" spans="1:11" s="54" customFormat="1" ht="13.5" customHeight="1" hidden="1">
      <c r="A275" s="130"/>
      <c r="B275" s="98" t="s">
        <v>260</v>
      </c>
      <c r="C275" s="92">
        <v>12</v>
      </c>
      <c r="D275" s="42" t="s">
        <v>200</v>
      </c>
      <c r="E275" s="211" t="s">
        <v>73</v>
      </c>
      <c r="F275" s="43">
        <v>8.67</v>
      </c>
      <c r="G275" s="212">
        <f>E275*F275*1.04</f>
        <v>108.2016</v>
      </c>
      <c r="H275" s="44">
        <f t="shared" si="20"/>
        <v>3569.570784</v>
      </c>
      <c r="I275" s="45">
        <v>32990</v>
      </c>
      <c r="J275" s="45"/>
      <c r="K275" s="215"/>
    </row>
    <row r="276" spans="1:11" s="54" customFormat="1" ht="13.5" customHeight="1" hidden="1">
      <c r="A276" s="130"/>
      <c r="B276" s="98" t="s">
        <v>261</v>
      </c>
      <c r="C276" s="92">
        <v>45</v>
      </c>
      <c r="D276" s="42" t="s">
        <v>200</v>
      </c>
      <c r="E276" s="211" t="s">
        <v>73</v>
      </c>
      <c r="F276" s="43">
        <f>13.7*1.04</f>
        <v>14.248</v>
      </c>
      <c r="G276" s="212">
        <f>E276*F276</f>
        <v>170.976</v>
      </c>
      <c r="H276" s="44">
        <f t="shared" si="20"/>
        <v>5298.54624</v>
      </c>
      <c r="I276" s="45">
        <v>30990</v>
      </c>
      <c r="J276" s="45"/>
      <c r="K276" s="214"/>
    </row>
    <row r="277" spans="1:11" s="54" customFormat="1" ht="13.5" customHeight="1" hidden="1">
      <c r="A277" s="130"/>
      <c r="B277" s="98" t="s">
        <v>262</v>
      </c>
      <c r="C277" s="92">
        <v>16</v>
      </c>
      <c r="D277" s="42" t="s">
        <v>200</v>
      </c>
      <c r="E277" s="211" t="s">
        <v>78</v>
      </c>
      <c r="F277" s="43">
        <v>16.33</v>
      </c>
      <c r="G277" s="212">
        <f>E277*F277*1.04</f>
        <v>198.70343999999997</v>
      </c>
      <c r="H277" s="44">
        <f t="shared" si="20"/>
        <v>7548.743685599999</v>
      </c>
      <c r="I277" s="45">
        <v>37990</v>
      </c>
      <c r="J277" s="45"/>
      <c r="K277" s="215"/>
    </row>
    <row r="278" spans="1:11" s="54" customFormat="1" ht="13.5" customHeight="1" hidden="1">
      <c r="A278" s="130"/>
      <c r="B278" s="98" t="s">
        <v>262</v>
      </c>
      <c r="C278" s="92">
        <v>38</v>
      </c>
      <c r="D278" s="42" t="s">
        <v>200</v>
      </c>
      <c r="E278" s="211" t="s">
        <v>73</v>
      </c>
      <c r="F278" s="43">
        <f>15.9*1.04</f>
        <v>16.536</v>
      </c>
      <c r="G278" s="212">
        <f>E278*F278</f>
        <v>198.43200000000002</v>
      </c>
      <c r="H278" s="44">
        <f t="shared" si="20"/>
        <v>6744.7036800000005</v>
      </c>
      <c r="I278" s="45">
        <v>33990</v>
      </c>
      <c r="J278" s="45"/>
      <c r="K278" s="215"/>
    </row>
    <row r="279" spans="1:11" s="54" customFormat="1" ht="13.5" customHeight="1" hidden="1">
      <c r="A279" s="130"/>
      <c r="B279" s="98" t="s">
        <v>263</v>
      </c>
      <c r="C279" s="92">
        <v>16</v>
      </c>
      <c r="D279" s="42" t="s">
        <v>200</v>
      </c>
      <c r="E279" s="93">
        <v>12</v>
      </c>
      <c r="F279" s="43">
        <v>12.7</v>
      </c>
      <c r="G279" s="212">
        <f>E279*F279*1.04</f>
        <v>158.49599999999998</v>
      </c>
      <c r="H279" s="44">
        <f t="shared" si="20"/>
        <v>5783.519039999999</v>
      </c>
      <c r="I279" s="45">
        <v>36490</v>
      </c>
      <c r="J279" s="45">
        <f>I279-240</f>
        <v>36250</v>
      </c>
      <c r="K279" s="215"/>
    </row>
    <row r="280" spans="1:11" s="54" customFormat="1" ht="13.5" customHeight="1" hidden="1">
      <c r="A280" s="130"/>
      <c r="B280" s="98" t="s">
        <v>264</v>
      </c>
      <c r="C280" s="92">
        <v>18</v>
      </c>
      <c r="D280" s="42" t="s">
        <v>200</v>
      </c>
      <c r="E280" s="113" t="s">
        <v>38</v>
      </c>
      <c r="F280" s="43">
        <v>18.4</v>
      </c>
      <c r="G280" s="212"/>
      <c r="H280" s="44"/>
      <c r="I280" s="45">
        <v>36490</v>
      </c>
      <c r="J280" s="45">
        <f>I280-240</f>
        <v>36250</v>
      </c>
      <c r="K280" s="215"/>
    </row>
    <row r="281" spans="1:11" s="54" customFormat="1" ht="13.5" customHeight="1" hidden="1">
      <c r="A281" s="130"/>
      <c r="B281" s="98" t="s">
        <v>264</v>
      </c>
      <c r="C281" s="92">
        <v>44</v>
      </c>
      <c r="D281" s="42" t="s">
        <v>200</v>
      </c>
      <c r="E281" s="51">
        <v>12</v>
      </c>
      <c r="F281" s="43">
        <v>18.4</v>
      </c>
      <c r="G281" s="212">
        <f>E281*F281*1.04</f>
        <v>229.63199999999998</v>
      </c>
      <c r="H281" s="44">
        <f>I281/(1000/G281)</f>
        <v>7805.191679999999</v>
      </c>
      <c r="I281" s="44">
        <v>33990</v>
      </c>
      <c r="J281" s="45"/>
      <c r="K281" s="215"/>
    </row>
    <row r="282" spans="1:11" s="54" customFormat="1" ht="13.5" customHeight="1" hidden="1">
      <c r="A282" s="130"/>
      <c r="B282" s="49" t="s">
        <v>265</v>
      </c>
      <c r="C282" s="50">
        <v>20</v>
      </c>
      <c r="D282" s="41" t="s">
        <v>200</v>
      </c>
      <c r="E282" s="113" t="s">
        <v>38</v>
      </c>
      <c r="F282" s="52">
        <v>21</v>
      </c>
      <c r="G282" s="212"/>
      <c r="H282" s="44"/>
      <c r="I282" s="44">
        <v>33990</v>
      </c>
      <c r="J282" s="45">
        <f>I282-240</f>
        <v>33750</v>
      </c>
      <c r="K282" s="215"/>
    </row>
    <row r="283" spans="1:11" s="54" customFormat="1" ht="13.5" customHeight="1" hidden="1">
      <c r="A283" s="130"/>
      <c r="B283" s="49" t="s">
        <v>265</v>
      </c>
      <c r="C283" s="50">
        <v>50</v>
      </c>
      <c r="D283" s="41" t="s">
        <v>200</v>
      </c>
      <c r="E283" s="51">
        <v>12</v>
      </c>
      <c r="F283" s="52">
        <f>21*1.04</f>
        <v>21.84</v>
      </c>
      <c r="G283" s="212">
        <f>E283*F283</f>
        <v>262.08</v>
      </c>
      <c r="H283" s="44">
        <f>I283/(1000/G283)</f>
        <v>8121.8592</v>
      </c>
      <c r="I283" s="44">
        <v>30990</v>
      </c>
      <c r="J283" s="45"/>
      <c r="K283" s="114"/>
    </row>
    <row r="284" spans="1:11" s="54" customFormat="1" ht="13.5" customHeight="1" hidden="1">
      <c r="A284" s="130"/>
      <c r="B284" s="49" t="s">
        <v>266</v>
      </c>
      <c r="C284" s="50">
        <v>25</v>
      </c>
      <c r="D284" s="41" t="s">
        <v>267</v>
      </c>
      <c r="E284" s="51"/>
      <c r="F284" s="52">
        <v>22.4</v>
      </c>
      <c r="G284" s="212">
        <f>E284*F284*1.04</f>
        <v>0</v>
      </c>
      <c r="H284" s="44"/>
      <c r="I284" s="44">
        <v>33990</v>
      </c>
      <c r="J284" s="45"/>
      <c r="K284" s="114"/>
    </row>
    <row r="285" spans="1:11" s="54" customFormat="1" ht="13.5" customHeight="1" hidden="1">
      <c r="A285" s="130"/>
      <c r="B285" s="49" t="s">
        <v>268</v>
      </c>
      <c r="C285" s="50">
        <v>50</v>
      </c>
      <c r="D285" s="41" t="s">
        <v>269</v>
      </c>
      <c r="E285" s="51">
        <v>12</v>
      </c>
      <c r="F285" s="52">
        <f>41.5*1.04</f>
        <v>43.160000000000004</v>
      </c>
      <c r="G285" s="212">
        <f>E285*F285</f>
        <v>517.9200000000001</v>
      </c>
      <c r="H285" s="44">
        <f>I285/(1000/G285)</f>
        <v>19520.404800000004</v>
      </c>
      <c r="I285" s="44">
        <v>37690</v>
      </c>
      <c r="J285" s="45"/>
      <c r="K285" s="46"/>
    </row>
    <row r="286" spans="1:11" s="54" customFormat="1" ht="13.5" customHeight="1" hidden="1">
      <c r="A286" s="130"/>
      <c r="B286" s="49" t="s">
        <v>270</v>
      </c>
      <c r="C286" s="50">
        <v>60</v>
      </c>
      <c r="D286" s="41" t="s">
        <v>200</v>
      </c>
      <c r="E286" s="51">
        <v>12</v>
      </c>
      <c r="F286" s="52">
        <f>38.3*1.04</f>
        <v>39.832</v>
      </c>
      <c r="G286" s="212">
        <f>E286*F286</f>
        <v>477.98400000000004</v>
      </c>
      <c r="H286" s="44">
        <f>I286/(1000/G286)</f>
        <v>19114.58016</v>
      </c>
      <c r="I286" s="44">
        <v>39990</v>
      </c>
      <c r="J286" s="45"/>
      <c r="K286" s="46" t="s">
        <v>271</v>
      </c>
    </row>
    <row r="287" spans="1:11" s="54" customFormat="1" ht="13.5" customHeight="1" hidden="1">
      <c r="A287" s="130"/>
      <c r="B287" s="49" t="s">
        <v>272</v>
      </c>
      <c r="C287" s="50">
        <v>65</v>
      </c>
      <c r="D287" s="41" t="s">
        <v>273</v>
      </c>
      <c r="E287" s="51">
        <v>12</v>
      </c>
      <c r="F287" s="52">
        <f>25.7*1.04</f>
        <v>26.728</v>
      </c>
      <c r="G287" s="212">
        <f>E287*F287</f>
        <v>320.736</v>
      </c>
      <c r="H287" s="44">
        <f>I287/(1000/G287)</f>
        <v>15231.75264</v>
      </c>
      <c r="I287" s="44">
        <v>47490</v>
      </c>
      <c r="J287" s="44"/>
      <c r="K287" s="215"/>
    </row>
    <row r="288" spans="1:11" s="54" customFormat="1" ht="13.5" customHeight="1" hidden="1">
      <c r="A288" s="130"/>
      <c r="B288" s="118" t="s">
        <v>274</v>
      </c>
      <c r="C288" s="119">
        <v>50</v>
      </c>
      <c r="D288" s="41" t="s">
        <v>275</v>
      </c>
      <c r="E288" s="121">
        <v>12</v>
      </c>
      <c r="F288" s="128">
        <v>44.1</v>
      </c>
      <c r="G288" s="212">
        <f>E288*F288</f>
        <v>529.2</v>
      </c>
      <c r="H288" s="44">
        <f>I288/(1000/G288)</f>
        <v>17352.468</v>
      </c>
      <c r="I288" s="209">
        <v>32790</v>
      </c>
      <c r="J288" s="209"/>
      <c r="K288" s="216"/>
    </row>
    <row r="289" spans="1:11" s="54" customFormat="1" ht="13.5" customHeight="1" hidden="1">
      <c r="A289" s="130"/>
      <c r="B289" s="49" t="s">
        <v>276</v>
      </c>
      <c r="C289" s="50"/>
      <c r="D289" s="41" t="s">
        <v>200</v>
      </c>
      <c r="E289" s="51">
        <v>12</v>
      </c>
      <c r="F289" s="52">
        <f>32*1.04</f>
        <v>33.28</v>
      </c>
      <c r="G289" s="212">
        <f>E289*F289</f>
        <v>399.36</v>
      </c>
      <c r="H289" s="44">
        <f>I289/(1000/G289)</f>
        <v>17967.2064</v>
      </c>
      <c r="I289" s="44">
        <v>44990</v>
      </c>
      <c r="J289" s="44"/>
      <c r="K289" s="215"/>
    </row>
    <row r="290" spans="1:11" s="54" customFormat="1" ht="13.5" customHeight="1" hidden="1">
      <c r="A290" s="130"/>
      <c r="B290" s="49" t="s">
        <v>277</v>
      </c>
      <c r="C290" s="50"/>
      <c r="D290" s="41" t="s">
        <v>278</v>
      </c>
      <c r="E290" s="51" t="s">
        <v>279</v>
      </c>
      <c r="F290" s="52">
        <f>68.6*1.0083</f>
        <v>69.16937999999999</v>
      </c>
      <c r="G290" s="212"/>
      <c r="H290" s="44"/>
      <c r="I290" s="44">
        <v>48990</v>
      </c>
      <c r="J290" s="44"/>
      <c r="K290" s="215"/>
    </row>
    <row r="291" spans="1:11" s="54" customFormat="1" ht="13.5" customHeight="1" hidden="1">
      <c r="A291" s="130"/>
      <c r="B291" s="49" t="s">
        <v>280</v>
      </c>
      <c r="C291" s="50"/>
      <c r="D291" s="41" t="s">
        <v>200</v>
      </c>
      <c r="E291" s="51">
        <v>12</v>
      </c>
      <c r="F291" s="52"/>
      <c r="G291" s="217">
        <v>620</v>
      </c>
      <c r="H291" s="44">
        <f>I291/(1000/G291)</f>
        <v>27893.800000000003</v>
      </c>
      <c r="I291" s="44">
        <v>44990</v>
      </c>
      <c r="J291" s="44"/>
      <c r="K291" s="215"/>
    </row>
    <row r="292" spans="1:11" s="54" customFormat="1" ht="13.5" customHeight="1" hidden="1">
      <c r="A292" s="130"/>
      <c r="B292" s="49" t="s">
        <v>281</v>
      </c>
      <c r="C292" s="50"/>
      <c r="D292" s="41" t="s">
        <v>200</v>
      </c>
      <c r="E292" s="51">
        <v>12</v>
      </c>
      <c r="F292" s="52"/>
      <c r="G292" s="217">
        <v>716</v>
      </c>
      <c r="H292" s="44">
        <f>I292/(1000/G292)</f>
        <v>28274.84</v>
      </c>
      <c r="I292" s="44">
        <v>39490</v>
      </c>
      <c r="J292" s="44"/>
      <c r="K292" s="215"/>
    </row>
    <row r="293" spans="1:11" s="54" customFormat="1" ht="13.5" customHeight="1" hidden="1">
      <c r="A293" s="130"/>
      <c r="B293" s="118" t="s">
        <v>282</v>
      </c>
      <c r="C293" s="119"/>
      <c r="D293" s="127" t="s">
        <v>200</v>
      </c>
      <c r="E293" s="121">
        <v>12</v>
      </c>
      <c r="F293" s="128"/>
      <c r="G293" s="218">
        <v>679</v>
      </c>
      <c r="H293" s="123">
        <f>I293/(1000/G293)</f>
        <v>28511.21</v>
      </c>
      <c r="I293" s="123">
        <v>41990</v>
      </c>
      <c r="J293" s="123"/>
      <c r="K293" s="216"/>
    </row>
    <row r="294" spans="1:13" s="54" customFormat="1" ht="21" customHeight="1">
      <c r="A294" s="130"/>
      <c r="B294" s="31" t="s">
        <v>283</v>
      </c>
      <c r="C294" s="71"/>
      <c r="D294" s="34"/>
      <c r="E294" s="34"/>
      <c r="F294" s="34"/>
      <c r="G294" s="34"/>
      <c r="H294" s="34"/>
      <c r="I294" s="34"/>
      <c r="J294" s="34"/>
      <c r="K294" s="72"/>
      <c r="M294" s="54">
        <v>280</v>
      </c>
    </row>
    <row r="295" spans="1:11" s="54" customFormat="1" ht="13.5" customHeight="1" hidden="1">
      <c r="A295" s="130"/>
      <c r="B295" s="49" t="s">
        <v>284</v>
      </c>
      <c r="C295" s="50">
        <v>10</v>
      </c>
      <c r="D295" s="41" t="s">
        <v>200</v>
      </c>
      <c r="E295" s="113" t="s">
        <v>38</v>
      </c>
      <c r="F295" s="52">
        <f>4.84*1.04</f>
        <v>5.0336</v>
      </c>
      <c r="G295" s="52"/>
      <c r="H295" s="44"/>
      <c r="I295" s="44">
        <v>30990</v>
      </c>
      <c r="J295" s="44"/>
      <c r="K295" s="219"/>
    </row>
    <row r="296" spans="1:11" s="54" customFormat="1" ht="13.5" customHeight="1" hidden="1">
      <c r="A296" s="130"/>
      <c r="B296" s="204" t="s">
        <v>285</v>
      </c>
      <c r="C296" s="205">
        <v>12</v>
      </c>
      <c r="D296" s="206" t="s">
        <v>200</v>
      </c>
      <c r="E296" s="220" t="s">
        <v>78</v>
      </c>
      <c r="F296" s="208">
        <f>4.84*1.04</f>
        <v>5.0336</v>
      </c>
      <c r="G296" s="52">
        <f>E296*F296</f>
        <v>58.893119999999996</v>
      </c>
      <c r="H296" s="44">
        <f>I296/(1000/G296)</f>
        <v>1899.30312</v>
      </c>
      <c r="I296" s="44">
        <v>32250</v>
      </c>
      <c r="J296" s="45"/>
      <c r="K296" s="221"/>
    </row>
    <row r="297" spans="1:12" s="54" customFormat="1" ht="13.5" customHeight="1" hidden="1">
      <c r="A297" s="130"/>
      <c r="B297" s="49" t="s">
        <v>286</v>
      </c>
      <c r="C297" s="50">
        <v>25</v>
      </c>
      <c r="D297" s="41" t="s">
        <v>287</v>
      </c>
      <c r="E297" s="113" t="s">
        <v>62</v>
      </c>
      <c r="F297" s="52">
        <f>5.9*1.04</f>
        <v>6.136000000000001</v>
      </c>
      <c r="G297" s="52">
        <f>E297*F297</f>
        <v>36.816</v>
      </c>
      <c r="H297" s="44">
        <f>I297/(1000/G297)</f>
        <v>1822.02384</v>
      </c>
      <c r="I297" s="123">
        <v>49490</v>
      </c>
      <c r="J297" s="45"/>
      <c r="K297" s="222"/>
      <c r="L297" s="53"/>
    </row>
    <row r="298" spans="1:13" s="54" customFormat="1" ht="13.5" customHeight="1">
      <c r="A298" s="130"/>
      <c r="B298" s="49" t="s">
        <v>288</v>
      </c>
      <c r="C298" s="50">
        <v>33</v>
      </c>
      <c r="D298" s="41" t="s">
        <v>287</v>
      </c>
      <c r="E298" s="113" t="s">
        <v>62</v>
      </c>
      <c r="F298" s="52">
        <f>5.9*1.04</f>
        <v>6.136000000000001</v>
      </c>
      <c r="G298" s="52">
        <f>E298*F298</f>
        <v>36.816</v>
      </c>
      <c r="H298" s="44">
        <f>I298/(1000/G298)</f>
        <v>3276.2558400000003</v>
      </c>
      <c r="I298" s="123">
        <v>88990</v>
      </c>
      <c r="J298" s="45"/>
      <c r="K298" s="222"/>
      <c r="L298" s="53"/>
      <c r="M298" s="54">
        <v>280</v>
      </c>
    </row>
    <row r="299" spans="1:12" s="54" customFormat="1" ht="13.5" customHeight="1" hidden="1">
      <c r="A299" s="130"/>
      <c r="B299" s="49" t="s">
        <v>289</v>
      </c>
      <c r="C299" s="50">
        <v>40</v>
      </c>
      <c r="D299" s="41" t="s">
        <v>287</v>
      </c>
      <c r="E299" s="223">
        <v>6</v>
      </c>
      <c r="F299" s="52">
        <f>7.05*1.04</f>
        <v>7.332</v>
      </c>
      <c r="G299" s="52">
        <f>E299*F299</f>
        <v>43.992</v>
      </c>
      <c r="H299" s="44">
        <f>I299/(1000/G299)</f>
        <v>3200.4179999999997</v>
      </c>
      <c r="I299" s="123">
        <v>72750</v>
      </c>
      <c r="J299" s="45"/>
      <c r="K299" s="222"/>
      <c r="L299" s="53"/>
    </row>
    <row r="300" spans="1:13" s="54" customFormat="1" ht="13.5" customHeight="1">
      <c r="A300" s="130"/>
      <c r="B300" s="49" t="s">
        <v>289</v>
      </c>
      <c r="C300" s="50">
        <v>40</v>
      </c>
      <c r="D300" s="41" t="s">
        <v>287</v>
      </c>
      <c r="E300" s="223">
        <v>12</v>
      </c>
      <c r="F300" s="52">
        <f>7.05*1.04</f>
        <v>7.332</v>
      </c>
      <c r="G300" s="52">
        <f>E300*F300</f>
        <v>87.984</v>
      </c>
      <c r="H300" s="44">
        <f>I300/(1000/G300)</f>
        <v>7389.776159999999</v>
      </c>
      <c r="I300" s="123">
        <v>83990</v>
      </c>
      <c r="J300" s="45"/>
      <c r="K300" s="222"/>
      <c r="L300" s="53"/>
      <c r="M300" s="54">
        <v>280</v>
      </c>
    </row>
    <row r="301" spans="1:12" s="57" customFormat="1" ht="13.5" customHeight="1" hidden="1">
      <c r="A301" s="132"/>
      <c r="B301" s="49" t="s">
        <v>290</v>
      </c>
      <c r="C301" s="224">
        <v>35</v>
      </c>
      <c r="D301" s="41" t="s">
        <v>291</v>
      </c>
      <c r="E301" s="113" t="s">
        <v>38</v>
      </c>
      <c r="F301" s="52">
        <f>8.59*1.04</f>
        <v>8.9336</v>
      </c>
      <c r="G301" s="52"/>
      <c r="H301" s="44"/>
      <c r="I301" s="123">
        <v>78750</v>
      </c>
      <c r="J301" s="45">
        <f>I301-240</f>
        <v>78510</v>
      </c>
      <c r="K301" s="225"/>
      <c r="L301" s="56"/>
    </row>
    <row r="302" spans="1:12" s="181" customFormat="1" ht="13.5" customHeight="1" hidden="1">
      <c r="A302" s="226"/>
      <c r="B302" s="227" t="s">
        <v>290</v>
      </c>
      <c r="C302" s="50">
        <v>45</v>
      </c>
      <c r="D302" s="41" t="s">
        <v>287</v>
      </c>
      <c r="E302" s="228" t="s">
        <v>73</v>
      </c>
      <c r="F302" s="52">
        <f>8.59*1.04</f>
        <v>8.9336</v>
      </c>
      <c r="G302" s="52">
        <f>E302*F302</f>
        <v>107.20320000000001</v>
      </c>
      <c r="H302" s="44">
        <f>I302/(1000/G302)</f>
        <v>8442.252</v>
      </c>
      <c r="I302" s="123">
        <v>78750</v>
      </c>
      <c r="J302" s="45"/>
      <c r="K302" s="200"/>
      <c r="L302" s="229"/>
    </row>
    <row r="303" spans="1:13" s="54" customFormat="1" ht="13.5" customHeight="1">
      <c r="A303" s="130"/>
      <c r="B303" s="49" t="s">
        <v>292</v>
      </c>
      <c r="C303" s="50">
        <v>45</v>
      </c>
      <c r="D303" s="41" t="s">
        <v>287</v>
      </c>
      <c r="E303" s="228" t="s">
        <v>73</v>
      </c>
      <c r="F303" s="52">
        <f>8.59*1.04</f>
        <v>8.9336</v>
      </c>
      <c r="G303" s="52">
        <f>E303*F303</f>
        <v>107.20320000000001</v>
      </c>
      <c r="H303" s="44">
        <f>I303/(1000/G303)</f>
        <v>8896.793568000001</v>
      </c>
      <c r="I303" s="123">
        <v>82990</v>
      </c>
      <c r="J303" s="45"/>
      <c r="K303" s="222"/>
      <c r="L303" s="53"/>
      <c r="M303" s="54">
        <v>280</v>
      </c>
    </row>
    <row r="304" spans="1:12" s="54" customFormat="1" ht="13.5" customHeight="1" hidden="1">
      <c r="A304" s="130"/>
      <c r="B304" s="49" t="s">
        <v>293</v>
      </c>
      <c r="C304" s="50">
        <v>18</v>
      </c>
      <c r="D304" s="41" t="s">
        <v>200</v>
      </c>
      <c r="E304" s="228" t="s">
        <v>38</v>
      </c>
      <c r="F304" s="52">
        <f>10.4*1.0674</f>
        <v>11.100959999999999</v>
      </c>
      <c r="G304" s="52"/>
      <c r="H304" s="44"/>
      <c r="I304" s="123">
        <v>37990</v>
      </c>
      <c r="J304" s="45">
        <f>I304-260</f>
        <v>37730</v>
      </c>
      <c r="K304" s="222"/>
      <c r="L304" s="53"/>
    </row>
    <row r="305" spans="1:12" s="89" customFormat="1" ht="13.5" customHeight="1" hidden="1">
      <c r="A305" s="130"/>
      <c r="B305" s="85" t="s">
        <v>293</v>
      </c>
      <c r="C305" s="61">
        <v>38</v>
      </c>
      <c r="D305" s="62" t="s">
        <v>200</v>
      </c>
      <c r="E305" s="230">
        <v>6</v>
      </c>
      <c r="F305" s="64">
        <f>10.4*1.04</f>
        <v>10.816</v>
      </c>
      <c r="G305" s="64">
        <f>E305*F305</f>
        <v>64.896</v>
      </c>
      <c r="H305" s="97">
        <f>I305/(1000/G305)</f>
        <v>3244.15104</v>
      </c>
      <c r="I305" s="125">
        <v>49990</v>
      </c>
      <c r="J305" s="66"/>
      <c r="K305" s="231"/>
      <c r="L305" s="177"/>
    </row>
    <row r="306" spans="1:13" s="54" customFormat="1" ht="13.5" customHeight="1">
      <c r="A306" s="130"/>
      <c r="B306" s="49" t="s">
        <v>293</v>
      </c>
      <c r="C306" s="50">
        <v>50</v>
      </c>
      <c r="D306" s="41" t="s">
        <v>200</v>
      </c>
      <c r="E306" s="223">
        <v>12</v>
      </c>
      <c r="F306" s="52">
        <f>10.4*1.04</f>
        <v>10.816</v>
      </c>
      <c r="G306" s="52">
        <f>E306*F306</f>
        <v>129.792</v>
      </c>
      <c r="H306" s="44">
        <f>I306/(1000/G306)</f>
        <v>11355.50208</v>
      </c>
      <c r="I306" s="123">
        <v>87490</v>
      </c>
      <c r="J306" s="45"/>
      <c r="K306" s="222"/>
      <c r="L306" s="229"/>
      <c r="M306" s="54">
        <v>280</v>
      </c>
    </row>
    <row r="307" spans="1:12" s="54" customFormat="1" ht="13.5" customHeight="1" hidden="1">
      <c r="A307" s="130"/>
      <c r="B307" s="49" t="s">
        <v>294</v>
      </c>
      <c r="C307" s="50">
        <v>38</v>
      </c>
      <c r="D307" s="41" t="s">
        <v>200</v>
      </c>
      <c r="E307" s="228" t="s">
        <v>73</v>
      </c>
      <c r="F307" s="52">
        <f>10.4*1.04</f>
        <v>10.816</v>
      </c>
      <c r="G307" s="52">
        <f>E307*F307</f>
        <v>129.792</v>
      </c>
      <c r="H307" s="44">
        <f>I307/(1000/G307)</f>
        <v>10999.872000000001</v>
      </c>
      <c r="I307" s="123">
        <v>84750</v>
      </c>
      <c r="J307" s="45"/>
      <c r="K307" s="222"/>
      <c r="L307" s="53"/>
    </row>
    <row r="308" spans="1:12" s="54" customFormat="1" ht="13.5" customHeight="1" hidden="1">
      <c r="A308" s="130"/>
      <c r="B308" s="49" t="s">
        <v>295</v>
      </c>
      <c r="C308" s="50">
        <v>40</v>
      </c>
      <c r="D308" s="41"/>
      <c r="E308" s="232" t="s">
        <v>279</v>
      </c>
      <c r="F308" s="52">
        <f>12.3*1.04</f>
        <v>12.792000000000002</v>
      </c>
      <c r="G308" s="52"/>
      <c r="H308" s="44"/>
      <c r="I308" s="123">
        <v>84750</v>
      </c>
      <c r="J308" s="45">
        <f>I308-240</f>
        <v>84510</v>
      </c>
      <c r="K308" s="222"/>
      <c r="L308" s="53"/>
    </row>
    <row r="309" spans="1:12" s="57" customFormat="1" ht="13.5" customHeight="1" hidden="1">
      <c r="A309" s="132"/>
      <c r="B309" s="49" t="s">
        <v>296</v>
      </c>
      <c r="C309" s="50">
        <v>50</v>
      </c>
      <c r="D309" s="41" t="s">
        <v>297</v>
      </c>
      <c r="E309" s="113" t="s">
        <v>62</v>
      </c>
      <c r="F309" s="52">
        <f>12.3*1.04</f>
        <v>12.792000000000002</v>
      </c>
      <c r="G309" s="52">
        <f>E309*F309</f>
        <v>76.75200000000001</v>
      </c>
      <c r="H309" s="44">
        <f>I309/(1000/G309)</f>
        <v>6504.732000000001</v>
      </c>
      <c r="I309" s="123">
        <v>84750</v>
      </c>
      <c r="J309" s="45"/>
      <c r="K309" s="200"/>
      <c r="L309" s="233"/>
    </row>
    <row r="310" spans="1:13" s="57" customFormat="1" ht="13.5" customHeight="1">
      <c r="A310" s="132"/>
      <c r="B310" s="49" t="s">
        <v>298</v>
      </c>
      <c r="C310" s="50">
        <v>65</v>
      </c>
      <c r="D310" s="41" t="s">
        <v>297</v>
      </c>
      <c r="E310" s="113" t="s">
        <v>73</v>
      </c>
      <c r="F310" s="52">
        <f>12.3*1.04</f>
        <v>12.792000000000002</v>
      </c>
      <c r="G310" s="52">
        <f>E310*F310</f>
        <v>153.50400000000002</v>
      </c>
      <c r="H310" s="44">
        <f>I310/(1000/G310)</f>
        <v>13353.312960000001</v>
      </c>
      <c r="I310" s="123">
        <v>86990</v>
      </c>
      <c r="J310" s="45"/>
      <c r="K310" s="200"/>
      <c r="L310"/>
      <c r="M310" s="57">
        <v>280</v>
      </c>
    </row>
    <row r="311" spans="1:12" s="57" customFormat="1" ht="13.5" customHeight="1" hidden="1">
      <c r="A311" s="132"/>
      <c r="B311" s="49" t="s">
        <v>299</v>
      </c>
      <c r="C311" s="50">
        <v>44</v>
      </c>
      <c r="D311" s="41" t="s">
        <v>200</v>
      </c>
      <c r="E311" s="113" t="s">
        <v>38</v>
      </c>
      <c r="F311" s="52">
        <f>14.2*1.06535</f>
        <v>15.12797</v>
      </c>
      <c r="G311" s="52"/>
      <c r="H311" s="44"/>
      <c r="I311" s="123">
        <v>42490</v>
      </c>
      <c r="J311" s="45">
        <f>I311-240</f>
        <v>42250</v>
      </c>
      <c r="K311" s="200"/>
      <c r="L311" s="56"/>
    </row>
    <row r="312" spans="1:13" s="89" customFormat="1" ht="13.5" customHeight="1">
      <c r="A312" s="130"/>
      <c r="B312" s="85" t="s">
        <v>299</v>
      </c>
      <c r="C312" s="61">
        <v>80</v>
      </c>
      <c r="D312" s="62" t="s">
        <v>200</v>
      </c>
      <c r="E312" s="112" t="s">
        <v>62</v>
      </c>
      <c r="F312" s="64">
        <f>14.2*1.04</f>
        <v>14.767999999999999</v>
      </c>
      <c r="G312" s="64">
        <f>E312*F312</f>
        <v>88.60799999999999</v>
      </c>
      <c r="H312" s="97">
        <f>I312/(1000/G312)</f>
        <v>9790.297919999999</v>
      </c>
      <c r="I312" s="97">
        <v>110490</v>
      </c>
      <c r="J312" s="66"/>
      <c r="K312" s="117" t="s">
        <v>130</v>
      </c>
      <c r="L312" s="177"/>
      <c r="M312" s="89">
        <v>280</v>
      </c>
    </row>
    <row r="313" spans="1:12" s="54" customFormat="1" ht="13.5" customHeight="1" hidden="1">
      <c r="A313" s="130"/>
      <c r="B313" s="49" t="s">
        <v>300</v>
      </c>
      <c r="C313" s="50">
        <v>60</v>
      </c>
      <c r="D313" s="41" t="s">
        <v>200</v>
      </c>
      <c r="E313" s="113" t="s">
        <v>301</v>
      </c>
      <c r="F313" s="52">
        <v>14.768</v>
      </c>
      <c r="G313" s="52">
        <f>E313*F313</f>
        <v>162.448</v>
      </c>
      <c r="H313" s="44">
        <f>I313/(1000/G313)</f>
        <v>8120.77552</v>
      </c>
      <c r="I313" s="123">
        <v>49990</v>
      </c>
      <c r="J313" s="45"/>
      <c r="K313" s="200"/>
      <c r="L313" s="53"/>
    </row>
    <row r="314" spans="1:13" s="57" customFormat="1" ht="13.5" customHeight="1">
      <c r="A314" s="132"/>
      <c r="B314" s="49" t="s">
        <v>299</v>
      </c>
      <c r="C314" s="50">
        <v>80</v>
      </c>
      <c r="D314" s="41" t="s">
        <v>200</v>
      </c>
      <c r="E314" s="113" t="s">
        <v>73</v>
      </c>
      <c r="F314" s="52">
        <f>14.2*1.04</f>
        <v>14.767999999999999</v>
      </c>
      <c r="G314" s="52">
        <f>E314*F314</f>
        <v>177.21599999999998</v>
      </c>
      <c r="H314" s="44">
        <f>I314/(1000/G314)</f>
        <v>15504.627839999997</v>
      </c>
      <c r="I314" s="123">
        <v>87490</v>
      </c>
      <c r="J314" s="45"/>
      <c r="K314" s="200"/>
      <c r="L314" s="229"/>
      <c r="M314" s="57">
        <v>280</v>
      </c>
    </row>
    <row r="315" spans="1:12" s="54" customFormat="1" ht="13.5" customHeight="1" hidden="1">
      <c r="A315" s="130"/>
      <c r="B315" s="49" t="s">
        <v>302</v>
      </c>
      <c r="C315" s="50">
        <v>27</v>
      </c>
      <c r="D315" s="41" t="s">
        <v>200</v>
      </c>
      <c r="E315" s="113" t="s">
        <v>38</v>
      </c>
      <c r="F315" s="52">
        <f>16.3*1.04</f>
        <v>16.952</v>
      </c>
      <c r="G315" s="52"/>
      <c r="H315" s="44"/>
      <c r="I315" s="123">
        <v>42490</v>
      </c>
      <c r="J315" s="45">
        <f>I315-240</f>
        <v>42250</v>
      </c>
      <c r="K315" s="222"/>
      <c r="L315" s="53"/>
    </row>
    <row r="316" spans="1:13" s="89" customFormat="1" ht="13.5" customHeight="1">
      <c r="A316" s="130"/>
      <c r="B316" s="85" t="s">
        <v>303</v>
      </c>
      <c r="C316" s="61">
        <v>100</v>
      </c>
      <c r="D316" s="62" t="s">
        <v>200</v>
      </c>
      <c r="E316" s="112" t="s">
        <v>62</v>
      </c>
      <c r="F316" s="64">
        <f>16.3*1.04</f>
        <v>16.952</v>
      </c>
      <c r="G316" s="64">
        <f>E316*F316</f>
        <v>101.71200000000002</v>
      </c>
      <c r="H316" s="97">
        <f>I316/(1000/G316)</f>
        <v>11238.158880000003</v>
      </c>
      <c r="I316" s="97">
        <v>110490</v>
      </c>
      <c r="J316" s="66"/>
      <c r="K316" s="117" t="s">
        <v>130</v>
      </c>
      <c r="L316" s="177"/>
      <c r="M316" s="89">
        <v>280</v>
      </c>
    </row>
    <row r="317" spans="1:13" s="54" customFormat="1" ht="13.5" customHeight="1">
      <c r="A317" s="130"/>
      <c r="B317" s="49" t="s">
        <v>303</v>
      </c>
      <c r="C317" s="50">
        <v>100</v>
      </c>
      <c r="D317" s="41" t="s">
        <v>200</v>
      </c>
      <c r="E317" s="113" t="s">
        <v>73</v>
      </c>
      <c r="F317" s="52">
        <f>16.3*1.04</f>
        <v>16.952</v>
      </c>
      <c r="G317" s="52">
        <f>E317*F317</f>
        <v>203.42400000000004</v>
      </c>
      <c r="H317" s="44">
        <f>I317/(1000/G317)</f>
        <v>17797.565760000005</v>
      </c>
      <c r="I317" s="123">
        <v>87490</v>
      </c>
      <c r="J317" s="45"/>
      <c r="K317" s="222"/>
      <c r="L317" s="53"/>
      <c r="M317" s="54">
        <v>280</v>
      </c>
    </row>
    <row r="318" spans="1:12" s="54" customFormat="1" ht="13.5" customHeight="1" hidden="1">
      <c r="A318" s="130"/>
      <c r="B318" s="49" t="s">
        <v>304</v>
      </c>
      <c r="C318" s="50">
        <v>51</v>
      </c>
      <c r="D318" s="41" t="s">
        <v>200</v>
      </c>
      <c r="E318" s="113" t="s">
        <v>38</v>
      </c>
      <c r="F318" s="52">
        <f>18.4*1.04</f>
        <v>19.136</v>
      </c>
      <c r="G318" s="52"/>
      <c r="H318" s="44"/>
      <c r="I318" s="123">
        <v>31750</v>
      </c>
      <c r="J318" s="45">
        <f>I318-240</f>
        <v>31510</v>
      </c>
      <c r="K318" s="200"/>
      <c r="L318" s="53"/>
    </row>
    <row r="319" spans="1:13" s="89" customFormat="1" ht="13.5" customHeight="1">
      <c r="A319" s="130"/>
      <c r="B319" s="85" t="s">
        <v>305</v>
      </c>
      <c r="C319" s="61">
        <v>130</v>
      </c>
      <c r="D319" s="62" t="s">
        <v>200</v>
      </c>
      <c r="E319" s="112" t="s">
        <v>62</v>
      </c>
      <c r="F319" s="64">
        <f>18.4*1.04</f>
        <v>19.136</v>
      </c>
      <c r="G319" s="64">
        <f>E319*F319</f>
        <v>114.816</v>
      </c>
      <c r="H319" s="97">
        <f>I319/(1000/G319)</f>
        <v>16647.17184</v>
      </c>
      <c r="I319" s="97">
        <v>144990</v>
      </c>
      <c r="J319" s="66"/>
      <c r="K319" s="117" t="s">
        <v>130</v>
      </c>
      <c r="L319" s="177"/>
      <c r="M319" s="89">
        <v>280</v>
      </c>
    </row>
    <row r="320" spans="1:12" s="54" customFormat="1" ht="13.5" customHeight="1" hidden="1">
      <c r="A320" s="130"/>
      <c r="B320" s="49" t="s">
        <v>306</v>
      </c>
      <c r="C320" s="50">
        <v>51</v>
      </c>
      <c r="D320" s="41" t="s">
        <v>200</v>
      </c>
      <c r="E320" s="113" t="s">
        <v>307</v>
      </c>
      <c r="F320" s="52">
        <f>18.4*1.04</f>
        <v>19.136</v>
      </c>
      <c r="G320" s="52">
        <f>E320*F320</f>
        <v>220.064</v>
      </c>
      <c r="H320" s="44">
        <f>I320/(1000/G320)</f>
        <v>8690.32736</v>
      </c>
      <c r="I320" s="44">
        <v>39490</v>
      </c>
      <c r="J320" s="45">
        <f>I320-240</f>
        <v>39250</v>
      </c>
      <c r="K320" s="46"/>
      <c r="L320" s="53"/>
    </row>
    <row r="321" spans="1:13" s="54" customFormat="1" ht="13.5" customHeight="1">
      <c r="A321" s="130"/>
      <c r="B321" s="49" t="s">
        <v>305</v>
      </c>
      <c r="C321" s="50">
        <v>130</v>
      </c>
      <c r="D321" s="41" t="s">
        <v>200</v>
      </c>
      <c r="E321" s="113" t="s">
        <v>73</v>
      </c>
      <c r="F321" s="52">
        <f>18.4*1.04</f>
        <v>19.136</v>
      </c>
      <c r="G321" s="52">
        <f>E321*F321</f>
        <v>229.632</v>
      </c>
      <c r="H321" s="44">
        <f>I321/(1000/G321)</f>
        <v>26405.383680000003</v>
      </c>
      <c r="I321" s="123">
        <v>114990</v>
      </c>
      <c r="J321" s="45"/>
      <c r="K321" s="46"/>
      <c r="L321" s="53"/>
      <c r="M321" s="54">
        <v>280</v>
      </c>
    </row>
    <row r="322" spans="1:12" s="54" customFormat="1" ht="13.5" customHeight="1" hidden="1">
      <c r="A322" s="130"/>
      <c r="B322" s="49" t="s">
        <v>308</v>
      </c>
      <c r="C322" s="50">
        <v>145</v>
      </c>
      <c r="D322" s="41" t="s">
        <v>200</v>
      </c>
      <c r="E322" s="113" t="s">
        <v>73</v>
      </c>
      <c r="F322" s="52">
        <f>21</f>
        <v>21</v>
      </c>
      <c r="G322" s="52">
        <f>E322*F322</f>
        <v>252</v>
      </c>
      <c r="H322" s="44">
        <f>I322/(1000/G322)</f>
        <v>28851.48</v>
      </c>
      <c r="I322" s="44">
        <v>114490</v>
      </c>
      <c r="J322" s="45"/>
      <c r="K322" s="200" t="s">
        <v>309</v>
      </c>
      <c r="L322" s="53"/>
    </row>
    <row r="323" spans="1:12" s="192" customFormat="1" ht="13.5" customHeight="1" hidden="1">
      <c r="A323" s="130"/>
      <c r="B323" s="234" t="s">
        <v>310</v>
      </c>
      <c r="C323" s="235">
        <v>36</v>
      </c>
      <c r="D323" s="236" t="s">
        <v>200</v>
      </c>
      <c r="E323" s="113" t="s">
        <v>38</v>
      </c>
      <c r="F323" s="52">
        <f>24*1.04</f>
        <v>24.96</v>
      </c>
      <c r="G323" s="52"/>
      <c r="H323" s="44"/>
      <c r="I323" s="44">
        <v>52990</v>
      </c>
      <c r="J323" s="45"/>
      <c r="K323" s="237"/>
      <c r="L323" s="47"/>
    </row>
    <row r="324" spans="1:251" s="198" customFormat="1" ht="13.5" customHeight="1">
      <c r="A324" s="130"/>
      <c r="B324" s="238" t="s">
        <v>311</v>
      </c>
      <c r="C324" s="101">
        <v>165</v>
      </c>
      <c r="D324" s="19" t="s">
        <v>200</v>
      </c>
      <c r="E324" s="112" t="s">
        <v>62</v>
      </c>
      <c r="F324" s="239">
        <f>24*1.054</f>
        <v>25.296</v>
      </c>
      <c r="G324" s="64">
        <f>E324*F324</f>
        <v>151.776</v>
      </c>
      <c r="H324" s="97">
        <f>I324/(1000/G324)</f>
        <v>21893.688000000002</v>
      </c>
      <c r="I324" s="97">
        <v>144250</v>
      </c>
      <c r="J324" s="66"/>
      <c r="K324" s="117" t="s">
        <v>130</v>
      </c>
      <c r="L324" s="240"/>
      <c r="M324" s="198">
        <v>280</v>
      </c>
      <c r="GL324" s="199"/>
      <c r="GM324" s="199"/>
      <c r="GN324" s="199"/>
      <c r="GO324" s="199"/>
      <c r="GP324" s="199"/>
      <c r="GQ324" s="199"/>
      <c r="GR324" s="199"/>
      <c r="GS324" s="199"/>
      <c r="GT324" s="199"/>
      <c r="GU324" s="199"/>
      <c r="GV324" s="199"/>
      <c r="GW324" s="199"/>
      <c r="GX324" s="199"/>
      <c r="GY324" s="199"/>
      <c r="GZ324" s="199"/>
      <c r="HA324" s="199"/>
      <c r="HB324" s="199"/>
      <c r="HC324" s="199"/>
      <c r="HD324" s="199"/>
      <c r="HE324" s="199"/>
      <c r="HF324" s="199"/>
      <c r="HG324" s="199"/>
      <c r="HH324" s="199"/>
      <c r="HI324" s="199"/>
      <c r="HJ324" s="199"/>
      <c r="HK324" s="199"/>
      <c r="HL324" s="199"/>
      <c r="HM324" s="199"/>
      <c r="HN324" s="199"/>
      <c r="HO324" s="199"/>
      <c r="HP324" s="199"/>
      <c r="HQ324" s="199"/>
      <c r="HR324" s="199"/>
      <c r="HS324" s="199"/>
      <c r="HT324" s="199"/>
      <c r="HU324" s="199"/>
      <c r="HV324" s="199"/>
      <c r="HW324" s="199"/>
      <c r="HX324" s="199"/>
      <c r="HY324" s="199"/>
      <c r="HZ324" s="199"/>
      <c r="IA324" s="199"/>
      <c r="IB324" s="199"/>
      <c r="IC324" s="199"/>
      <c r="ID324" s="199"/>
      <c r="IE324" s="199"/>
      <c r="IF324" s="199"/>
      <c r="IG324" s="199"/>
      <c r="IH324" s="199"/>
      <c r="II324" s="199"/>
      <c r="IJ324" s="199"/>
      <c r="IK324" s="199"/>
      <c r="IL324" s="199"/>
      <c r="IM324" s="199"/>
      <c r="IN324" s="199"/>
      <c r="IO324" s="199"/>
      <c r="IP324" s="199"/>
      <c r="IQ324" s="199"/>
    </row>
    <row r="325" spans="1:251" s="192" customFormat="1" ht="13.5" customHeight="1" hidden="1">
      <c r="A325" s="130"/>
      <c r="B325" s="241" t="s">
        <v>312</v>
      </c>
      <c r="C325" s="235">
        <v>165</v>
      </c>
      <c r="D325" s="242" t="s">
        <v>200</v>
      </c>
      <c r="E325" s="113" t="s">
        <v>73</v>
      </c>
      <c r="F325" s="212">
        <f>24*1.054</f>
        <v>25.296</v>
      </c>
      <c r="G325" s="52">
        <f>E325*F325</f>
        <v>303.552</v>
      </c>
      <c r="H325" s="44">
        <f>I325/(1000/G325)</f>
        <v>33994.78848</v>
      </c>
      <c r="I325" s="123">
        <v>111990</v>
      </c>
      <c r="J325" s="45"/>
      <c r="K325" s="200"/>
      <c r="L325" s="47"/>
      <c r="GL325" s="202"/>
      <c r="GM325" s="202"/>
      <c r="GN325" s="202"/>
      <c r="GO325" s="202"/>
      <c r="GP325" s="202"/>
      <c r="GQ325" s="202"/>
      <c r="GR325" s="202"/>
      <c r="GS325" s="202"/>
      <c r="GT325" s="202"/>
      <c r="GU325" s="202"/>
      <c r="GV325" s="202"/>
      <c r="GW325" s="202"/>
      <c r="GX325" s="202"/>
      <c r="GY325" s="202"/>
      <c r="GZ325" s="202"/>
      <c r="HA325" s="202"/>
      <c r="HB325" s="202"/>
      <c r="HC325" s="202"/>
      <c r="HD325" s="202"/>
      <c r="HE325" s="202"/>
      <c r="HF325" s="202"/>
      <c r="HG325" s="202"/>
      <c r="HH325" s="202"/>
      <c r="HI325" s="202"/>
      <c r="HJ325" s="202"/>
      <c r="HK325" s="202"/>
      <c r="HL325" s="202"/>
      <c r="HM325" s="202"/>
      <c r="HN325" s="202"/>
      <c r="HO325" s="202"/>
      <c r="HP325" s="202"/>
      <c r="HQ325" s="202"/>
      <c r="HR325" s="202"/>
      <c r="HS325" s="202"/>
      <c r="HT325" s="202"/>
      <c r="HU325" s="202"/>
      <c r="HV325" s="202"/>
      <c r="HW325" s="202"/>
      <c r="HX325" s="202"/>
      <c r="HY325" s="202"/>
      <c r="HZ325" s="202"/>
      <c r="IA325" s="202"/>
      <c r="IB325" s="202"/>
      <c r="IC325" s="202"/>
      <c r="ID325" s="202"/>
      <c r="IE325" s="202"/>
      <c r="IF325" s="202"/>
      <c r="IG325" s="202"/>
      <c r="IH325" s="202"/>
      <c r="II325" s="202"/>
      <c r="IJ325" s="202"/>
      <c r="IK325" s="202"/>
      <c r="IL325" s="202"/>
      <c r="IM325" s="202"/>
      <c r="IN325" s="202"/>
      <c r="IO325" s="202"/>
      <c r="IP325" s="202"/>
      <c r="IQ325" s="202"/>
    </row>
    <row r="326" spans="1:251" s="192" customFormat="1" ht="13.5" customHeight="1">
      <c r="A326" s="130"/>
      <c r="B326" s="241" t="s">
        <v>313</v>
      </c>
      <c r="C326" s="235">
        <v>165</v>
      </c>
      <c r="D326" s="242" t="s">
        <v>200</v>
      </c>
      <c r="E326" s="113" t="s">
        <v>73</v>
      </c>
      <c r="F326" s="212">
        <f>24*1.054</f>
        <v>25.296</v>
      </c>
      <c r="G326" s="52">
        <f>E326*F326</f>
        <v>303.552</v>
      </c>
      <c r="H326" s="44">
        <f>I326/(1000/G326)</f>
        <v>34753.66848</v>
      </c>
      <c r="I326" s="44">
        <v>114490</v>
      </c>
      <c r="J326" s="45"/>
      <c r="K326" s="200"/>
      <c r="L326" s="47"/>
      <c r="M326" s="192">
        <v>280</v>
      </c>
      <c r="GL326" s="202"/>
      <c r="GM326" s="202"/>
      <c r="GN326" s="202"/>
      <c r="GO326" s="202"/>
      <c r="GP326" s="202"/>
      <c r="GQ326" s="202"/>
      <c r="GR326" s="202"/>
      <c r="GS326" s="202"/>
      <c r="GT326" s="202"/>
      <c r="GU326" s="202"/>
      <c r="GV326" s="202"/>
      <c r="GW326" s="202"/>
      <c r="GX326" s="202"/>
      <c r="GY326" s="202"/>
      <c r="GZ326" s="202"/>
      <c r="HA326" s="202"/>
      <c r="HB326" s="202"/>
      <c r="HC326" s="202"/>
      <c r="HD326" s="202"/>
      <c r="HE326" s="202"/>
      <c r="HF326" s="202"/>
      <c r="HG326" s="202"/>
      <c r="HH326" s="202"/>
      <c r="HI326" s="202"/>
      <c r="HJ326" s="202"/>
      <c r="HK326" s="202"/>
      <c r="HL326" s="202"/>
      <c r="HM326" s="202"/>
      <c r="HN326" s="202"/>
      <c r="HO326" s="202"/>
      <c r="HP326" s="202"/>
      <c r="HQ326" s="202"/>
      <c r="HR326" s="202"/>
      <c r="HS326" s="202"/>
      <c r="HT326" s="202"/>
      <c r="HU326" s="202"/>
      <c r="HV326" s="202"/>
      <c r="HW326" s="202"/>
      <c r="HX326" s="202"/>
      <c r="HY326" s="202"/>
      <c r="HZ326" s="202"/>
      <c r="IA326" s="202"/>
      <c r="IB326" s="202"/>
      <c r="IC326" s="202"/>
      <c r="ID326" s="202"/>
      <c r="IE326" s="202"/>
      <c r="IF326" s="202"/>
      <c r="IG326" s="202"/>
      <c r="IH326" s="202"/>
      <c r="II326" s="202"/>
      <c r="IJ326" s="202"/>
      <c r="IK326" s="202"/>
      <c r="IL326" s="202"/>
      <c r="IM326" s="202"/>
      <c r="IN326" s="202"/>
      <c r="IO326" s="202"/>
      <c r="IP326" s="202"/>
      <c r="IQ326" s="202"/>
    </row>
    <row r="327" spans="1:251" s="192" customFormat="1" ht="13.5" customHeight="1" hidden="1">
      <c r="A327" s="132"/>
      <c r="B327" s="241" t="s">
        <v>314</v>
      </c>
      <c r="C327" s="235">
        <v>78</v>
      </c>
      <c r="D327" s="243" t="s">
        <v>200</v>
      </c>
      <c r="E327" s="113" t="s">
        <v>38</v>
      </c>
      <c r="F327" s="212">
        <v>29.04</v>
      </c>
      <c r="G327" s="52"/>
      <c r="H327" s="44"/>
      <c r="I327" s="44">
        <v>52990</v>
      </c>
      <c r="J327" s="45"/>
      <c r="K327" s="200"/>
      <c r="GL327" s="202"/>
      <c r="GM327" s="202"/>
      <c r="GN327" s="202"/>
      <c r="GO327" s="202"/>
      <c r="GP327" s="202"/>
      <c r="GQ327" s="202"/>
      <c r="GR327" s="202"/>
      <c r="GS327" s="202"/>
      <c r="GT327" s="202"/>
      <c r="GU327" s="202"/>
      <c r="GV327" s="202"/>
      <c r="GW327" s="202"/>
      <c r="GX327" s="202"/>
      <c r="GY327" s="202"/>
      <c r="GZ327" s="202"/>
      <c r="HA327" s="202"/>
      <c r="HB327" s="202"/>
      <c r="HC327" s="202"/>
      <c r="HD327" s="202"/>
      <c r="HE327" s="202"/>
      <c r="HF327" s="202"/>
      <c r="HG327" s="202"/>
      <c r="HH327" s="202"/>
      <c r="HI327" s="202"/>
      <c r="HJ327" s="202"/>
      <c r="HK327" s="202"/>
      <c r="HL327" s="202"/>
      <c r="HM327" s="202"/>
      <c r="HN327" s="202"/>
      <c r="HO327" s="202"/>
      <c r="HP327" s="202"/>
      <c r="HQ327" s="202"/>
      <c r="HR327" s="202"/>
      <c r="HS327" s="202"/>
      <c r="HT327" s="202"/>
      <c r="HU327" s="202"/>
      <c r="HV327" s="202"/>
      <c r="HW327" s="202"/>
      <c r="HX327" s="202"/>
      <c r="HY327" s="202"/>
      <c r="HZ327" s="202"/>
      <c r="IA327" s="202"/>
      <c r="IB327" s="202"/>
      <c r="IC327" s="202"/>
      <c r="ID327" s="202"/>
      <c r="IE327" s="202"/>
      <c r="IF327" s="202"/>
      <c r="IG327" s="202"/>
      <c r="IH327" s="202"/>
      <c r="II327" s="202"/>
      <c r="IJ327" s="202"/>
      <c r="IK327" s="202"/>
      <c r="IL327" s="202"/>
      <c r="IM327" s="202"/>
      <c r="IN327" s="202"/>
      <c r="IO327" s="202"/>
      <c r="IP327" s="202"/>
      <c r="IQ327" s="202"/>
    </row>
    <row r="328" spans="1:251" s="192" customFormat="1" ht="13.5" customHeight="1" hidden="1">
      <c r="A328" s="132"/>
      <c r="B328" s="241" t="s">
        <v>314</v>
      </c>
      <c r="C328" s="235">
        <v>78</v>
      </c>
      <c r="D328" s="243" t="s">
        <v>200</v>
      </c>
      <c r="E328" s="113" t="s">
        <v>73</v>
      </c>
      <c r="F328" s="212">
        <f>27.92*1.04</f>
        <v>29.036800000000003</v>
      </c>
      <c r="G328" s="52">
        <f>E328*F328</f>
        <v>348.44160000000005</v>
      </c>
      <c r="H328" s="44">
        <f>I328/(1000/G328)</f>
        <v>19160.803584</v>
      </c>
      <c r="I328" s="44">
        <v>54990</v>
      </c>
      <c r="J328" s="45"/>
      <c r="K328" s="200"/>
      <c r="P328" s="54"/>
      <c r="GL328" s="202"/>
      <c r="GM328" s="202"/>
      <c r="GN328" s="202"/>
      <c r="GO328" s="202"/>
      <c r="GP328" s="202"/>
      <c r="GQ328" s="202"/>
      <c r="GR328" s="202"/>
      <c r="GS328" s="202"/>
      <c r="GT328" s="202"/>
      <c r="GU328" s="202"/>
      <c r="GV328" s="202"/>
      <c r="GW328" s="202"/>
      <c r="GX328" s="202"/>
      <c r="GY328" s="202"/>
      <c r="GZ328" s="202"/>
      <c r="HA328" s="202"/>
      <c r="HB328" s="202"/>
      <c r="HC328" s="202"/>
      <c r="HD328" s="202"/>
      <c r="HE328" s="202"/>
      <c r="HF328" s="202"/>
      <c r="HG328" s="202"/>
      <c r="HH328" s="202"/>
      <c r="HI328" s="202"/>
      <c r="HJ328" s="202"/>
      <c r="HK328" s="202"/>
      <c r="HL328" s="202"/>
      <c r="HM328" s="202"/>
      <c r="HN328" s="202"/>
      <c r="HO328" s="202"/>
      <c r="HP328" s="202"/>
      <c r="HQ328" s="202"/>
      <c r="HR328" s="202"/>
      <c r="HS328" s="202"/>
      <c r="HT328" s="202"/>
      <c r="HU328" s="202"/>
      <c r="HV328" s="202"/>
      <c r="HW328" s="202"/>
      <c r="HX328" s="202"/>
      <c r="HY328" s="202"/>
      <c r="HZ328" s="202"/>
      <c r="IA328" s="202"/>
      <c r="IB328" s="202"/>
      <c r="IC328" s="202"/>
      <c r="ID328" s="202"/>
      <c r="IE328" s="202"/>
      <c r="IF328" s="202"/>
      <c r="IG328" s="202"/>
      <c r="IH328" s="202"/>
      <c r="II328" s="202"/>
      <c r="IJ328" s="202"/>
      <c r="IK328" s="202"/>
      <c r="IL328" s="202"/>
      <c r="IM328" s="202"/>
      <c r="IN328" s="202"/>
      <c r="IO328" s="202"/>
      <c r="IP328" s="202"/>
      <c r="IQ328" s="202"/>
    </row>
    <row r="329" spans="1:251" s="192" customFormat="1" ht="13.5" customHeight="1" hidden="1">
      <c r="A329" s="130"/>
      <c r="B329" s="241" t="s">
        <v>315</v>
      </c>
      <c r="C329" s="235">
        <v>92</v>
      </c>
      <c r="D329" s="243" t="s">
        <v>200</v>
      </c>
      <c r="E329" s="113" t="s">
        <v>258</v>
      </c>
      <c r="F329" s="212">
        <f>31.8*1.04</f>
        <v>33.072</v>
      </c>
      <c r="G329" s="52">
        <f>E329*F329</f>
        <v>297.648</v>
      </c>
      <c r="H329" s="44">
        <f>I329/(1000/G329)</f>
        <v>15772.36752</v>
      </c>
      <c r="I329" s="44">
        <v>52990</v>
      </c>
      <c r="J329" s="45">
        <f>I329-260</f>
        <v>52730</v>
      </c>
      <c r="K329" s="200"/>
      <c r="GL329" s="202"/>
      <c r="GM329" s="202"/>
      <c r="GN329" s="202"/>
      <c r="GO329" s="202"/>
      <c r="GP329" s="202"/>
      <c r="GQ329" s="202"/>
      <c r="GR329" s="202"/>
      <c r="GS329" s="202"/>
      <c r="GT329" s="202"/>
      <c r="GU329" s="202"/>
      <c r="GV329" s="202"/>
      <c r="GW329" s="202"/>
      <c r="GX329" s="202"/>
      <c r="GY329" s="202"/>
      <c r="GZ329" s="202"/>
      <c r="HA329" s="202"/>
      <c r="HB329" s="202"/>
      <c r="HC329" s="202"/>
      <c r="HD329" s="202"/>
      <c r="HE329" s="202"/>
      <c r="HF329" s="202"/>
      <c r="HG329" s="202"/>
      <c r="HH329" s="202"/>
      <c r="HI329" s="202"/>
      <c r="HJ329" s="202"/>
      <c r="HK329" s="202"/>
      <c r="HL329" s="202"/>
      <c r="HM329" s="202"/>
      <c r="HN329" s="202"/>
      <c r="HO329" s="202"/>
      <c r="HP329" s="202"/>
      <c r="HQ329" s="202"/>
      <c r="HR329" s="202"/>
      <c r="HS329" s="202"/>
      <c r="HT329" s="202"/>
      <c r="HU329" s="202"/>
      <c r="HV329" s="202"/>
      <c r="HW329" s="202"/>
      <c r="HX329" s="202"/>
      <c r="HY329" s="202"/>
      <c r="HZ329" s="202"/>
      <c r="IA329" s="202"/>
      <c r="IB329" s="202"/>
      <c r="IC329" s="202"/>
      <c r="ID329" s="202"/>
      <c r="IE329" s="202"/>
      <c r="IF329" s="202"/>
      <c r="IG329" s="202"/>
      <c r="IH329" s="202"/>
      <c r="II329" s="202"/>
      <c r="IJ329" s="202"/>
      <c r="IK329" s="202"/>
      <c r="IL329" s="202"/>
      <c r="IM329" s="202"/>
      <c r="IN329" s="202"/>
      <c r="IO329" s="202"/>
      <c r="IP329" s="202"/>
      <c r="IQ329" s="202"/>
    </row>
    <row r="330" spans="1:251" s="192" customFormat="1" ht="13.5" customHeight="1" hidden="1">
      <c r="A330" s="130"/>
      <c r="B330" s="244" t="s">
        <v>315</v>
      </c>
      <c r="C330" s="245">
        <v>300</v>
      </c>
      <c r="D330" s="246" t="s">
        <v>200</v>
      </c>
      <c r="E330" s="247" t="s">
        <v>73</v>
      </c>
      <c r="F330" s="248">
        <f>31.8</f>
        <v>31.8</v>
      </c>
      <c r="G330" s="248">
        <f>E330*F330</f>
        <v>381.6</v>
      </c>
      <c r="H330" s="249">
        <f>I330/(1000/G330)</f>
        <v>47696.18400000001</v>
      </c>
      <c r="I330" s="249">
        <v>124990</v>
      </c>
      <c r="J330" s="250"/>
      <c r="K330" s="251" t="s">
        <v>309</v>
      </c>
      <c r="P330"/>
      <c r="GL330" s="202"/>
      <c r="GM330" s="202"/>
      <c r="GN330" s="202"/>
      <c r="GO330" s="202"/>
      <c r="GP330" s="202"/>
      <c r="GQ330" s="202"/>
      <c r="GR330" s="202"/>
      <c r="GS330" s="202"/>
      <c r="GT330" s="202"/>
      <c r="GU330" s="202"/>
      <c r="GV330" s="202"/>
      <c r="GW330" s="202"/>
      <c r="GX330" s="202"/>
      <c r="GY330" s="202"/>
      <c r="GZ330" s="202"/>
      <c r="HA330" s="202"/>
      <c r="HB330" s="202"/>
      <c r="HC330" s="202"/>
      <c r="HD330" s="202"/>
      <c r="HE330" s="202"/>
      <c r="HF330" s="202"/>
      <c r="HG330" s="202"/>
      <c r="HH330" s="202"/>
      <c r="HI330" s="202"/>
      <c r="HJ330" s="202"/>
      <c r="HK330" s="202"/>
      <c r="HL330" s="202"/>
      <c r="HM330" s="202"/>
      <c r="HN330" s="202"/>
      <c r="HO330" s="202"/>
      <c r="HP330" s="202"/>
      <c r="HQ330" s="202"/>
      <c r="HR330" s="202"/>
      <c r="HS330" s="202"/>
      <c r="HT330" s="202"/>
      <c r="HU330" s="202"/>
      <c r="HV330" s="202"/>
      <c r="HW330" s="202"/>
      <c r="HX330" s="202"/>
      <c r="HY330" s="202"/>
      <c r="HZ330" s="202"/>
      <c r="IA330" s="202"/>
      <c r="IB330" s="202"/>
      <c r="IC330" s="202"/>
      <c r="ID330" s="202"/>
      <c r="IE330" s="202"/>
      <c r="IF330" s="202"/>
      <c r="IG330" s="202"/>
      <c r="IH330" s="202"/>
      <c r="II330" s="202"/>
      <c r="IJ330" s="202"/>
      <c r="IK330" s="202"/>
      <c r="IL330" s="202"/>
      <c r="IM330" s="202"/>
      <c r="IN330" s="202"/>
      <c r="IO330" s="202"/>
      <c r="IP330" s="202"/>
      <c r="IQ330" s="202"/>
    </row>
    <row r="331" spans="1:251" s="192" customFormat="1" ht="13.5" customHeight="1" hidden="1">
      <c r="A331" s="130"/>
      <c r="B331" s="252" t="s">
        <v>316</v>
      </c>
      <c r="C331" s="253">
        <v>105</v>
      </c>
      <c r="D331" s="254" t="s">
        <v>200</v>
      </c>
      <c r="E331" s="255">
        <v>4.5</v>
      </c>
      <c r="F331" s="218">
        <v>48.3</v>
      </c>
      <c r="G331" s="218">
        <f>E331*F331*1.04</f>
        <v>226.044</v>
      </c>
      <c r="H331" s="123">
        <f>I331/(1000/G331)</f>
        <v>9098.271</v>
      </c>
      <c r="I331" s="44">
        <v>40250</v>
      </c>
      <c r="J331" s="123"/>
      <c r="K331" s="216"/>
      <c r="P331"/>
      <c r="GL331" s="202"/>
      <c r="GM331" s="202"/>
      <c r="GN331" s="202"/>
      <c r="GO331" s="202"/>
      <c r="GP331" s="202"/>
      <c r="GQ331" s="202"/>
      <c r="GR331" s="202"/>
      <c r="GS331" s="202"/>
      <c r="GT331" s="202"/>
      <c r="GU331" s="202"/>
      <c r="GV331" s="202"/>
      <c r="GW331" s="202"/>
      <c r="GX331" s="202"/>
      <c r="GY331" s="202"/>
      <c r="GZ331" s="202"/>
      <c r="HA331" s="202"/>
      <c r="HB331" s="202"/>
      <c r="HC331" s="202"/>
      <c r="HD331" s="202"/>
      <c r="HE331" s="202"/>
      <c r="HF331" s="202"/>
      <c r="HG331" s="202"/>
      <c r="HH331" s="202"/>
      <c r="HI331" s="202"/>
      <c r="HJ331" s="202"/>
      <c r="HK331" s="202"/>
      <c r="HL331" s="202"/>
      <c r="HM331" s="202"/>
      <c r="HN331" s="202"/>
      <c r="HO331" s="202"/>
      <c r="HP331" s="202"/>
      <c r="HQ331" s="202"/>
      <c r="HR331" s="202"/>
      <c r="HS331" s="202"/>
      <c r="HT331" s="202"/>
      <c r="HU331" s="202"/>
      <c r="HV331" s="202"/>
      <c r="HW331" s="202"/>
      <c r="HX331" s="202"/>
      <c r="HY331" s="202"/>
      <c r="HZ331" s="202"/>
      <c r="IA331" s="202"/>
      <c r="IB331" s="202"/>
      <c r="IC331" s="202"/>
      <c r="ID331" s="202"/>
      <c r="IE331" s="202"/>
      <c r="IF331" s="202"/>
      <c r="IG331" s="202"/>
      <c r="IH331" s="202"/>
      <c r="II331" s="202"/>
      <c r="IJ331" s="202"/>
      <c r="IK331" s="202"/>
      <c r="IL331" s="202"/>
      <c r="IM331" s="202"/>
      <c r="IN331" s="202"/>
      <c r="IO331" s="202"/>
      <c r="IP331" s="202"/>
      <c r="IQ331" s="202"/>
    </row>
    <row r="332" spans="1:16" s="54" customFormat="1" ht="21" customHeight="1">
      <c r="A332" s="256"/>
      <c r="B332" s="31" t="s">
        <v>317</v>
      </c>
      <c r="C332" s="71"/>
      <c r="D332" s="34"/>
      <c r="E332" s="34"/>
      <c r="F332" s="34"/>
      <c r="G332" s="34"/>
      <c r="H332" s="34"/>
      <c r="I332" s="34"/>
      <c r="J332" s="34"/>
      <c r="K332" s="72"/>
      <c r="M332" s="54">
        <v>281</v>
      </c>
      <c r="P332"/>
    </row>
    <row r="333" spans="1:13" s="54" customFormat="1" ht="13.5" customHeight="1">
      <c r="A333" s="256"/>
      <c r="B333" s="49" t="s">
        <v>318</v>
      </c>
      <c r="C333" s="50">
        <v>20</v>
      </c>
      <c r="D333" s="42"/>
      <c r="E333" s="51">
        <v>6</v>
      </c>
      <c r="F333" s="52">
        <f>1.12*1.03</f>
        <v>1.1536000000000002</v>
      </c>
      <c r="G333" s="52">
        <f aca="true" t="shared" si="21" ref="G333:G344">E333*F333</f>
        <v>6.9216000000000015</v>
      </c>
      <c r="H333" s="44">
        <f aca="true" t="shared" si="22" ref="H333:H344">I333/(1000/G333)</f>
        <v>560.5803840000001</v>
      </c>
      <c r="I333" s="44">
        <v>80990</v>
      </c>
      <c r="J333" s="45"/>
      <c r="K333" s="46"/>
      <c r="M333" s="54">
        <v>281</v>
      </c>
    </row>
    <row r="334" spans="1:11" s="54" customFormat="1" ht="13.5" customHeight="1" hidden="1">
      <c r="A334" s="256"/>
      <c r="B334" s="49" t="s">
        <v>319</v>
      </c>
      <c r="C334" s="50">
        <v>8</v>
      </c>
      <c r="D334" s="42"/>
      <c r="E334" s="51">
        <v>9</v>
      </c>
      <c r="F334" s="52">
        <f>1.46*1.03</f>
        <v>1.5038</v>
      </c>
      <c r="G334" s="52">
        <f t="shared" si="21"/>
        <v>13.5342</v>
      </c>
      <c r="H334" s="44">
        <f t="shared" si="22"/>
        <v>987.861258</v>
      </c>
      <c r="I334" s="44">
        <v>72990</v>
      </c>
      <c r="J334" s="45">
        <f>I334-260</f>
        <v>72730</v>
      </c>
      <c r="K334" s="174"/>
    </row>
    <row r="335" spans="1:11" s="54" customFormat="1" ht="13.5" customHeight="1" hidden="1">
      <c r="A335" s="256"/>
      <c r="B335" s="49" t="s">
        <v>319</v>
      </c>
      <c r="C335" s="50">
        <v>8</v>
      </c>
      <c r="D335" s="42" t="s">
        <v>197</v>
      </c>
      <c r="E335" s="51">
        <v>10</v>
      </c>
      <c r="F335" s="52">
        <f>1.46*1.03</f>
        <v>1.5038</v>
      </c>
      <c r="G335" s="52">
        <f t="shared" si="21"/>
        <v>15.038</v>
      </c>
      <c r="H335" s="44">
        <f t="shared" si="22"/>
        <v>1097.62362</v>
      </c>
      <c r="I335" s="44">
        <v>72990</v>
      </c>
      <c r="J335" s="45">
        <f>I335-260</f>
        <v>72730</v>
      </c>
      <c r="K335" s="200"/>
    </row>
    <row r="336" spans="1:11" s="54" customFormat="1" ht="13.5" customHeight="1" hidden="1">
      <c r="A336" s="256"/>
      <c r="B336" s="49" t="s">
        <v>319</v>
      </c>
      <c r="C336" s="50">
        <v>8</v>
      </c>
      <c r="D336" s="41" t="s">
        <v>200</v>
      </c>
      <c r="E336" s="51">
        <v>11.7</v>
      </c>
      <c r="F336" s="52">
        <f>1.46*1.03</f>
        <v>1.5038</v>
      </c>
      <c r="G336" s="52">
        <f t="shared" si="21"/>
        <v>17.594459999999998</v>
      </c>
      <c r="H336" s="44">
        <f t="shared" si="22"/>
        <v>1284.2196354</v>
      </c>
      <c r="I336" s="44">
        <v>72990</v>
      </c>
      <c r="J336" s="45"/>
      <c r="K336" s="215"/>
    </row>
    <row r="337" spans="1:11" s="54" customFormat="1" ht="13.5" customHeight="1" hidden="1">
      <c r="A337" s="256"/>
      <c r="B337" s="49" t="s">
        <v>320</v>
      </c>
      <c r="C337" s="50">
        <v>11</v>
      </c>
      <c r="D337" s="41" t="s">
        <v>200</v>
      </c>
      <c r="E337" s="113" t="s">
        <v>62</v>
      </c>
      <c r="F337" s="52">
        <f>1.46*1.03</f>
        <v>1.5038</v>
      </c>
      <c r="G337" s="52">
        <f t="shared" si="21"/>
        <v>9.0228</v>
      </c>
      <c r="H337" s="44">
        <f t="shared" si="22"/>
        <v>658.574172</v>
      </c>
      <c r="I337" s="44">
        <v>72990</v>
      </c>
      <c r="J337" s="45"/>
      <c r="K337" s="174"/>
    </row>
    <row r="338" spans="1:13" s="54" customFormat="1" ht="13.5" customHeight="1">
      <c r="A338" s="256"/>
      <c r="B338" s="49" t="s">
        <v>321</v>
      </c>
      <c r="C338" s="50">
        <v>26</v>
      </c>
      <c r="D338" s="41" t="s">
        <v>200</v>
      </c>
      <c r="E338" s="51">
        <v>6</v>
      </c>
      <c r="F338" s="52">
        <f>1.91*1.03</f>
        <v>1.9673000000000003</v>
      </c>
      <c r="G338" s="52">
        <f t="shared" si="21"/>
        <v>11.803800000000003</v>
      </c>
      <c r="H338" s="44">
        <f t="shared" si="22"/>
        <v>938.2840620000002</v>
      </c>
      <c r="I338" s="44">
        <v>79490</v>
      </c>
      <c r="J338" s="45"/>
      <c r="K338" s="46"/>
      <c r="L338" s="53"/>
      <c r="M338" s="54">
        <v>281</v>
      </c>
    </row>
    <row r="339" spans="1:11" s="54" customFormat="1" ht="13.5" customHeight="1" hidden="1">
      <c r="A339" s="256"/>
      <c r="B339" s="49" t="s">
        <v>321</v>
      </c>
      <c r="C339" s="50">
        <v>20</v>
      </c>
      <c r="D339" s="41" t="s">
        <v>200</v>
      </c>
      <c r="E339" s="51">
        <v>12</v>
      </c>
      <c r="F339" s="52">
        <f>1.91*1.03</f>
        <v>1.9673000000000003</v>
      </c>
      <c r="G339" s="52">
        <f t="shared" si="21"/>
        <v>23.607600000000005</v>
      </c>
      <c r="H339" s="44">
        <f t="shared" si="22"/>
        <v>1156.5363240000001</v>
      </c>
      <c r="I339" s="44">
        <v>48990</v>
      </c>
      <c r="J339" s="45"/>
      <c r="K339" s="46"/>
    </row>
    <row r="340" spans="1:11" s="54" customFormat="1" ht="13.5" customHeight="1" hidden="1">
      <c r="A340" s="256"/>
      <c r="B340" s="49" t="s">
        <v>322</v>
      </c>
      <c r="C340" s="50">
        <v>12</v>
      </c>
      <c r="D340" s="41" t="s">
        <v>200</v>
      </c>
      <c r="E340" s="113" t="s">
        <v>62</v>
      </c>
      <c r="F340" s="52">
        <f>2.1*1.03</f>
        <v>2.1630000000000003</v>
      </c>
      <c r="G340" s="52">
        <f t="shared" si="21"/>
        <v>12.978000000000002</v>
      </c>
      <c r="H340" s="44">
        <f t="shared" si="22"/>
        <v>609.83622</v>
      </c>
      <c r="I340" s="44">
        <v>46990</v>
      </c>
      <c r="J340" s="45"/>
      <c r="K340" s="174"/>
    </row>
    <row r="341" spans="1:11" s="57" customFormat="1" ht="13.5" customHeight="1" hidden="1">
      <c r="A341" s="257"/>
      <c r="B341" s="49" t="s">
        <v>323</v>
      </c>
      <c r="C341" s="50">
        <v>25</v>
      </c>
      <c r="D341" s="41" t="s">
        <v>200</v>
      </c>
      <c r="E341" s="51">
        <v>6</v>
      </c>
      <c r="F341" s="52">
        <f>1.85*1.03</f>
        <v>1.9055000000000002</v>
      </c>
      <c r="G341" s="52">
        <f t="shared" si="21"/>
        <v>11.433000000000002</v>
      </c>
      <c r="H341" s="44">
        <f t="shared" si="22"/>
        <v>714.4481700000001</v>
      </c>
      <c r="I341" s="44">
        <v>62490</v>
      </c>
      <c r="J341" s="45"/>
      <c r="K341" s="137"/>
    </row>
    <row r="342" spans="1:11" s="57" customFormat="1" ht="13.5" customHeight="1" hidden="1">
      <c r="A342" s="257"/>
      <c r="B342" s="49" t="s">
        <v>324</v>
      </c>
      <c r="C342" s="50">
        <v>33</v>
      </c>
      <c r="D342" s="41" t="s">
        <v>200</v>
      </c>
      <c r="E342" s="51">
        <v>6</v>
      </c>
      <c r="F342" s="52">
        <f>2.42*1.03</f>
        <v>2.4926</v>
      </c>
      <c r="G342" s="52">
        <f t="shared" si="21"/>
        <v>14.9556</v>
      </c>
      <c r="H342" s="44">
        <f t="shared" si="22"/>
        <v>1162.7979</v>
      </c>
      <c r="I342" s="44">
        <v>77750</v>
      </c>
      <c r="J342" s="45"/>
      <c r="K342" s="137"/>
    </row>
    <row r="343" spans="1:13" s="57" customFormat="1" ht="13.5" customHeight="1">
      <c r="A343" s="257"/>
      <c r="B343" s="49" t="s">
        <v>324</v>
      </c>
      <c r="C343" s="50">
        <v>33</v>
      </c>
      <c r="D343" s="41" t="s">
        <v>200</v>
      </c>
      <c r="E343" s="51">
        <v>12</v>
      </c>
      <c r="F343" s="52">
        <f>2.42*1.03</f>
        <v>2.4926</v>
      </c>
      <c r="G343" s="52">
        <f t="shared" si="21"/>
        <v>29.9112</v>
      </c>
      <c r="H343" s="44">
        <f t="shared" si="22"/>
        <v>2183.218488</v>
      </c>
      <c r="I343" s="44">
        <v>72990</v>
      </c>
      <c r="J343" s="45"/>
      <c r="K343" s="46"/>
      <c r="L343" s="56"/>
      <c r="M343" s="57">
        <v>281</v>
      </c>
    </row>
    <row r="344" spans="1:11" s="57" customFormat="1" ht="13.5" customHeight="1" hidden="1">
      <c r="A344" s="257"/>
      <c r="B344" s="49" t="s">
        <v>325</v>
      </c>
      <c r="C344" s="50">
        <v>28</v>
      </c>
      <c r="D344" s="41" t="s">
        <v>200</v>
      </c>
      <c r="E344" s="51">
        <v>12</v>
      </c>
      <c r="F344" s="52">
        <f>2.73*1.03</f>
        <v>2.8119</v>
      </c>
      <c r="G344" s="52">
        <f t="shared" si="21"/>
        <v>33.7428</v>
      </c>
      <c r="H344" s="44">
        <f t="shared" si="22"/>
        <v>2462.8869720000002</v>
      </c>
      <c r="I344" s="44">
        <v>72990</v>
      </c>
      <c r="J344" s="45"/>
      <c r="K344" s="200"/>
    </row>
    <row r="345" spans="1:11" s="57" customFormat="1" ht="12.75" customHeight="1" hidden="1">
      <c r="A345" s="257"/>
      <c r="B345" s="49" t="s">
        <v>326</v>
      </c>
      <c r="C345" s="50">
        <v>12</v>
      </c>
      <c r="D345" s="41" t="s">
        <v>200</v>
      </c>
      <c r="E345" s="113" t="s">
        <v>38</v>
      </c>
      <c r="F345" s="52">
        <f>3.77*1.03</f>
        <v>3.8831</v>
      </c>
      <c r="G345" s="52"/>
      <c r="H345" s="44"/>
      <c r="I345" s="44">
        <v>72990</v>
      </c>
      <c r="J345" s="45">
        <f>I345-240</f>
        <v>72750</v>
      </c>
      <c r="K345" s="137"/>
    </row>
    <row r="346" spans="1:13" s="57" customFormat="1" ht="13.5" customHeight="1">
      <c r="A346" s="257"/>
      <c r="B346" s="49" t="s">
        <v>327</v>
      </c>
      <c r="C346" s="50">
        <v>40</v>
      </c>
      <c r="D346" s="41" t="s">
        <v>200</v>
      </c>
      <c r="E346" s="113" t="s">
        <v>73</v>
      </c>
      <c r="F346" s="52">
        <f>3.05*1.03</f>
        <v>3.1414999999999997</v>
      </c>
      <c r="G346" s="52">
        <f>E346*F346</f>
        <v>37.69799999999999</v>
      </c>
      <c r="H346" s="44">
        <f aca="true" t="shared" si="23" ref="H346:H352">I346/(1000/G346)</f>
        <v>2751.5770199999997</v>
      </c>
      <c r="I346" s="44">
        <v>72990</v>
      </c>
      <c r="J346" s="45"/>
      <c r="K346" s="46"/>
      <c r="M346" s="57">
        <v>281</v>
      </c>
    </row>
    <row r="347" spans="1:12" s="57" customFormat="1" ht="13.5" customHeight="1" hidden="1">
      <c r="A347" s="257"/>
      <c r="B347" s="49" t="s">
        <v>326</v>
      </c>
      <c r="C347" s="50">
        <v>40</v>
      </c>
      <c r="D347" s="41" t="s">
        <v>200</v>
      </c>
      <c r="E347" s="113" t="s">
        <v>62</v>
      </c>
      <c r="F347" s="52">
        <f>3.77*1.03</f>
        <v>3.8831</v>
      </c>
      <c r="G347" s="52">
        <f>E347*F347</f>
        <v>23.2986</v>
      </c>
      <c r="H347" s="44">
        <f t="shared" si="23"/>
        <v>1712.2141139999999</v>
      </c>
      <c r="I347" s="44">
        <v>73490</v>
      </c>
      <c r="J347" s="45"/>
      <c r="K347" s="46"/>
      <c r="L347" s="56"/>
    </row>
    <row r="348" spans="1:13" s="57" customFormat="1" ht="13.5" customHeight="1">
      <c r="A348" s="257"/>
      <c r="B348" s="49" t="s">
        <v>326</v>
      </c>
      <c r="C348" s="50">
        <v>40</v>
      </c>
      <c r="D348" s="41" t="s">
        <v>200</v>
      </c>
      <c r="E348" s="113" t="s">
        <v>73</v>
      </c>
      <c r="F348" s="52">
        <f>3.77*1.03</f>
        <v>3.8831</v>
      </c>
      <c r="G348" s="52">
        <f>E348*F348</f>
        <v>46.5972</v>
      </c>
      <c r="H348" s="44">
        <f t="shared" si="23"/>
        <v>3401.1296279999997</v>
      </c>
      <c r="I348" s="44">
        <v>72990</v>
      </c>
      <c r="J348" s="45"/>
      <c r="K348" s="46"/>
      <c r="L348" s="56"/>
      <c r="M348" s="57">
        <v>281</v>
      </c>
    </row>
    <row r="349" spans="1:12" s="2" customFormat="1" ht="13.5" customHeight="1" hidden="1">
      <c r="A349" s="257"/>
      <c r="B349" s="49" t="s">
        <v>328</v>
      </c>
      <c r="C349" s="50">
        <v>35</v>
      </c>
      <c r="D349" s="41" t="s">
        <v>200</v>
      </c>
      <c r="E349" s="113" t="s">
        <v>73</v>
      </c>
      <c r="F349" s="52">
        <f>3.9*1.03</f>
        <v>4.017</v>
      </c>
      <c r="G349" s="52">
        <f>F349*E349</f>
        <v>48.20400000000001</v>
      </c>
      <c r="H349" s="44">
        <f t="shared" si="23"/>
        <v>3542.5119600000007</v>
      </c>
      <c r="I349" s="44">
        <v>73490</v>
      </c>
      <c r="J349" s="45"/>
      <c r="K349" s="200"/>
      <c r="L349" s="233"/>
    </row>
    <row r="350" spans="1:13" ht="13.5" customHeight="1">
      <c r="A350" s="256"/>
      <c r="B350" s="49" t="s">
        <v>329</v>
      </c>
      <c r="C350" s="50">
        <v>45</v>
      </c>
      <c r="D350" s="41" t="s">
        <v>200</v>
      </c>
      <c r="E350" s="113" t="s">
        <v>73</v>
      </c>
      <c r="F350" s="52">
        <f>4.81*1.03</f>
        <v>4.954300000000001</v>
      </c>
      <c r="G350" s="52">
        <f>F350*E350</f>
        <v>59.45160000000001</v>
      </c>
      <c r="H350" s="44">
        <f t="shared" si="23"/>
        <v>4339.372284000001</v>
      </c>
      <c r="I350" s="44">
        <v>72990</v>
      </c>
      <c r="J350" s="45"/>
      <c r="K350" s="200"/>
      <c r="L350" s="258"/>
      <c r="M350">
        <v>281</v>
      </c>
    </row>
    <row r="351" spans="1:12" ht="13.5" customHeight="1" hidden="1">
      <c r="A351" s="256"/>
      <c r="B351" s="49" t="s">
        <v>329</v>
      </c>
      <c r="C351" s="50">
        <v>15</v>
      </c>
      <c r="D351" s="41" t="s">
        <v>200</v>
      </c>
      <c r="E351" s="113" t="s">
        <v>73</v>
      </c>
      <c r="F351" s="52">
        <f>4.81*1.03</f>
        <v>4.954300000000001</v>
      </c>
      <c r="G351" s="52">
        <f>F351*E351</f>
        <v>59.45160000000001</v>
      </c>
      <c r="H351" s="44">
        <f t="shared" si="23"/>
        <v>6063.468684</v>
      </c>
      <c r="I351" s="44">
        <v>101990</v>
      </c>
      <c r="J351" s="45"/>
      <c r="K351" s="200"/>
      <c r="L351" s="258"/>
    </row>
    <row r="352" spans="1:12" s="2" customFormat="1" ht="13.5" customHeight="1" hidden="1">
      <c r="A352" s="257"/>
      <c r="B352" s="49" t="s">
        <v>330</v>
      </c>
      <c r="C352" s="50">
        <v>16</v>
      </c>
      <c r="D352" s="41" t="s">
        <v>200</v>
      </c>
      <c r="E352" s="113" t="s">
        <v>62</v>
      </c>
      <c r="F352" s="52">
        <f>5.72*1.03</f>
        <v>5.8915999999999995</v>
      </c>
      <c r="G352" s="52">
        <f>F352*E352</f>
        <v>35.349599999999995</v>
      </c>
      <c r="H352" s="44">
        <f t="shared" si="23"/>
        <v>3605.305704</v>
      </c>
      <c r="I352" s="44">
        <v>101990</v>
      </c>
      <c r="J352" s="45"/>
      <c r="K352" s="114"/>
      <c r="L352" s="233"/>
    </row>
    <row r="353" spans="1:12" s="54" customFormat="1" ht="13.5" customHeight="1" hidden="1">
      <c r="A353" s="256"/>
      <c r="B353" s="49" t="s">
        <v>331</v>
      </c>
      <c r="C353" s="50">
        <v>30</v>
      </c>
      <c r="D353" s="41" t="s">
        <v>200</v>
      </c>
      <c r="E353" s="113" t="s">
        <v>332</v>
      </c>
      <c r="F353" s="52">
        <f>6.89*1.03</f>
        <v>7.0967</v>
      </c>
      <c r="G353" s="52"/>
      <c r="H353" s="44"/>
      <c r="I353" s="44">
        <v>101990</v>
      </c>
      <c r="J353" s="45"/>
      <c r="K353" s="259"/>
      <c r="L353" s="53"/>
    </row>
    <row r="354" spans="1:12" s="89" customFormat="1" ht="13.5" customHeight="1" hidden="1">
      <c r="A354" s="256"/>
      <c r="B354" s="85"/>
      <c r="C354" s="61"/>
      <c r="D354" s="62"/>
      <c r="E354" s="112"/>
      <c r="F354" s="64"/>
      <c r="G354" s="64"/>
      <c r="H354" s="97"/>
      <c r="I354" s="44">
        <v>101990</v>
      </c>
      <c r="J354" s="66"/>
      <c r="K354" s="260"/>
      <c r="L354" s="177"/>
    </row>
    <row r="355" spans="1:13" s="54" customFormat="1" ht="13.5" customHeight="1">
      <c r="A355" s="256"/>
      <c r="B355" s="49" t="s">
        <v>333</v>
      </c>
      <c r="C355" s="50">
        <v>53</v>
      </c>
      <c r="D355" s="41" t="s">
        <v>200</v>
      </c>
      <c r="E355" s="113" t="s">
        <v>73</v>
      </c>
      <c r="F355" s="52">
        <f>5.8*1.03</f>
        <v>5.974</v>
      </c>
      <c r="G355" s="52">
        <f>F355*E355</f>
        <v>71.688</v>
      </c>
      <c r="H355" s="44">
        <f aca="true" t="shared" si="24" ref="H355:H361">I355/(1000/G355)</f>
        <v>5609.586</v>
      </c>
      <c r="I355" s="44">
        <v>78250</v>
      </c>
      <c r="J355" s="45"/>
      <c r="K355" s="259"/>
      <c r="L355" s="53"/>
      <c r="M355" s="54">
        <v>281</v>
      </c>
    </row>
    <row r="356" spans="1:13" s="54" customFormat="1" ht="13.5" customHeight="1">
      <c r="A356" s="256"/>
      <c r="B356" s="49" t="s">
        <v>331</v>
      </c>
      <c r="C356" s="50">
        <v>53</v>
      </c>
      <c r="D356" s="41" t="s">
        <v>200</v>
      </c>
      <c r="E356" s="113" t="s">
        <v>73</v>
      </c>
      <c r="F356" s="52">
        <f>6.89*1.03</f>
        <v>7.0967</v>
      </c>
      <c r="G356" s="52">
        <f>F356*E356</f>
        <v>85.16040000000001</v>
      </c>
      <c r="H356" s="44">
        <f t="shared" si="24"/>
        <v>6811.980396000001</v>
      </c>
      <c r="I356" s="44">
        <v>79990</v>
      </c>
      <c r="J356" s="45"/>
      <c r="K356" s="69"/>
      <c r="L356" s="53"/>
      <c r="M356" s="54">
        <v>281</v>
      </c>
    </row>
    <row r="357" spans="1:12" s="54" customFormat="1" ht="13.5" customHeight="1" hidden="1">
      <c r="A357" s="256"/>
      <c r="B357" s="49" t="s">
        <v>331</v>
      </c>
      <c r="C357" s="50">
        <v>30</v>
      </c>
      <c r="D357" s="41" t="s">
        <v>200</v>
      </c>
      <c r="E357" s="113" t="s">
        <v>73</v>
      </c>
      <c r="F357" s="52">
        <f>6.89*1.03</f>
        <v>7.0967</v>
      </c>
      <c r="G357" s="52">
        <f>F357*E357</f>
        <v>85.16040000000001</v>
      </c>
      <c r="H357" s="44">
        <f t="shared" si="24"/>
        <v>5491.994196000001</v>
      </c>
      <c r="I357" s="44">
        <v>64490</v>
      </c>
      <c r="J357" s="45"/>
      <c r="K357" s="200"/>
      <c r="L357" s="53"/>
    </row>
    <row r="358" spans="1:12" s="89" customFormat="1" ht="13.5" customHeight="1" hidden="1">
      <c r="A358" s="256"/>
      <c r="B358" s="85" t="s">
        <v>334</v>
      </c>
      <c r="C358" s="61">
        <v>35</v>
      </c>
      <c r="D358" s="62" t="s">
        <v>200</v>
      </c>
      <c r="E358" s="112" t="s">
        <v>78</v>
      </c>
      <c r="F358" s="64">
        <f>7.36*1.03</f>
        <v>7.580800000000001</v>
      </c>
      <c r="G358" s="64">
        <f>E358*F358</f>
        <v>88.69536000000001</v>
      </c>
      <c r="H358" s="97">
        <f t="shared" si="24"/>
        <v>5719.9637664</v>
      </c>
      <c r="I358" s="44">
        <v>64490</v>
      </c>
      <c r="J358" s="45"/>
      <c r="K358" s="67"/>
      <c r="L358" s="177"/>
    </row>
    <row r="359" spans="1:12" s="54" customFormat="1" ht="13.5" customHeight="1" hidden="1">
      <c r="A359" s="256"/>
      <c r="B359" s="49" t="s">
        <v>335</v>
      </c>
      <c r="C359" s="50">
        <v>40</v>
      </c>
      <c r="D359" s="41" t="s">
        <v>200</v>
      </c>
      <c r="E359" s="113" t="s">
        <v>78</v>
      </c>
      <c r="F359" s="52">
        <f>8.33*1.04</f>
        <v>8.6632</v>
      </c>
      <c r="G359" s="52">
        <f>E359*F359</f>
        <v>101.35943999999999</v>
      </c>
      <c r="H359" s="44">
        <f t="shared" si="24"/>
        <v>6536.6702856</v>
      </c>
      <c r="I359" s="44">
        <v>64490</v>
      </c>
      <c r="J359" s="45"/>
      <c r="K359" s="114"/>
      <c r="L359" s="53"/>
    </row>
    <row r="360" spans="1:12" s="54" customFormat="1" ht="13.5" customHeight="1" hidden="1">
      <c r="A360" s="256"/>
      <c r="B360" s="49" t="s">
        <v>336</v>
      </c>
      <c r="C360" s="50">
        <v>80</v>
      </c>
      <c r="D360" s="41" t="s">
        <v>200</v>
      </c>
      <c r="E360" s="113" t="s">
        <v>73</v>
      </c>
      <c r="F360" s="52">
        <f>9.64*1.03</f>
        <v>9.929200000000002</v>
      </c>
      <c r="G360" s="52">
        <f>E360*F360</f>
        <v>119.15040000000002</v>
      </c>
      <c r="H360" s="44">
        <f t="shared" si="24"/>
        <v>7147.832496000001</v>
      </c>
      <c r="I360" s="44">
        <v>59990</v>
      </c>
      <c r="J360" s="45"/>
      <c r="K360" s="114"/>
      <c r="L360" s="53"/>
    </row>
    <row r="361" spans="1:12" s="54" customFormat="1" ht="13.5" customHeight="1" hidden="1">
      <c r="A361" s="256"/>
      <c r="B361" s="49" t="s">
        <v>337</v>
      </c>
      <c r="C361" s="50">
        <v>40</v>
      </c>
      <c r="D361" s="41" t="s">
        <v>200</v>
      </c>
      <c r="E361" s="113" t="s">
        <v>78</v>
      </c>
      <c r="F361" s="52">
        <f>10.93*1.03</f>
        <v>11.2579</v>
      </c>
      <c r="G361" s="52">
        <f>E361*F361</f>
        <v>131.71742999999998</v>
      </c>
      <c r="H361" s="44">
        <f t="shared" si="24"/>
        <v>5565.061417499999</v>
      </c>
      <c r="I361" s="44">
        <v>42250</v>
      </c>
      <c r="J361" s="45"/>
      <c r="K361" s="114"/>
      <c r="L361" s="53"/>
    </row>
    <row r="362" spans="1:12" s="54" customFormat="1" ht="13.5" customHeight="1" hidden="1">
      <c r="A362" s="256"/>
      <c r="B362" s="49" t="s">
        <v>338</v>
      </c>
      <c r="C362" s="50">
        <v>45</v>
      </c>
      <c r="D362" s="41" t="s">
        <v>200</v>
      </c>
      <c r="E362" s="113" t="s">
        <v>38</v>
      </c>
      <c r="F362" s="52">
        <f>10.8*1.03</f>
        <v>11.124</v>
      </c>
      <c r="G362" s="52"/>
      <c r="H362" s="44"/>
      <c r="I362" s="44">
        <v>42250</v>
      </c>
      <c r="J362" s="45"/>
      <c r="K362" s="46"/>
      <c r="L362" s="53"/>
    </row>
    <row r="363" spans="1:13" s="89" customFormat="1" ht="13.5" customHeight="1">
      <c r="A363" s="256"/>
      <c r="B363" s="85" t="s">
        <v>338</v>
      </c>
      <c r="C363" s="61"/>
      <c r="D363" s="62" t="s">
        <v>200</v>
      </c>
      <c r="E363" s="112" t="s">
        <v>62</v>
      </c>
      <c r="F363" s="64">
        <f>10.8*1.03</f>
        <v>11.124</v>
      </c>
      <c r="G363" s="64">
        <f>E363*F363</f>
        <v>66.744</v>
      </c>
      <c r="H363" s="97">
        <f>I363/(1000/G363)</f>
        <v>6757.83</v>
      </c>
      <c r="I363" s="97">
        <v>101250</v>
      </c>
      <c r="J363" s="66"/>
      <c r="K363" s="87" t="s">
        <v>130</v>
      </c>
      <c r="L363" s="177"/>
      <c r="M363" s="89">
        <v>281</v>
      </c>
    </row>
    <row r="364" spans="1:13" s="57" customFormat="1" ht="13.5" customHeight="1">
      <c r="A364" s="257"/>
      <c r="B364" s="49" t="s">
        <v>338</v>
      </c>
      <c r="C364" s="50">
        <v>90</v>
      </c>
      <c r="D364" s="41" t="s">
        <v>200</v>
      </c>
      <c r="E364" s="113" t="s">
        <v>73</v>
      </c>
      <c r="F364" s="52">
        <f>10.8*1.03</f>
        <v>11.124</v>
      </c>
      <c r="G364" s="52">
        <f>E364*F364</f>
        <v>133.488</v>
      </c>
      <c r="H364" s="44">
        <f>I364/(1000/G364)</f>
        <v>10677.70512</v>
      </c>
      <c r="I364" s="44">
        <v>79990</v>
      </c>
      <c r="J364" s="45"/>
      <c r="K364" s="46"/>
      <c r="L364" s="56"/>
      <c r="M364" s="57">
        <v>281</v>
      </c>
    </row>
    <row r="365" spans="1:12" s="54" customFormat="1" ht="13.5" customHeight="1" hidden="1">
      <c r="A365" s="256"/>
      <c r="B365" s="49" t="s">
        <v>339</v>
      </c>
      <c r="C365" s="50">
        <v>95</v>
      </c>
      <c r="D365" s="41" t="s">
        <v>200</v>
      </c>
      <c r="E365" s="113" t="s">
        <v>73</v>
      </c>
      <c r="F365" s="52">
        <f>12.25*1.03</f>
        <v>12.6175</v>
      </c>
      <c r="G365" s="52">
        <f>E365*F365</f>
        <v>151.41</v>
      </c>
      <c r="H365" s="44">
        <f>I365/(1000/G365)</f>
        <v>12565.515899999999</v>
      </c>
      <c r="I365" s="44">
        <v>82990</v>
      </c>
      <c r="J365" s="45"/>
      <c r="K365" s="114"/>
      <c r="L365" s="53"/>
    </row>
    <row r="366" spans="1:12" s="54" customFormat="1" ht="13.5" customHeight="1" hidden="1">
      <c r="A366" s="256"/>
      <c r="B366" s="49" t="s">
        <v>340</v>
      </c>
      <c r="C366" s="50">
        <v>45</v>
      </c>
      <c r="D366" s="41" t="s">
        <v>200</v>
      </c>
      <c r="E366" s="113" t="s">
        <v>78</v>
      </c>
      <c r="F366" s="52">
        <f>15.1*1.03</f>
        <v>15.553</v>
      </c>
      <c r="G366" s="52">
        <f>E366*F366</f>
        <v>181.9701</v>
      </c>
      <c r="H366" s="44">
        <f>I366/(1000/G366)</f>
        <v>7822.894599</v>
      </c>
      <c r="I366" s="249">
        <v>42990</v>
      </c>
      <c r="J366" s="45"/>
      <c r="K366" s="114"/>
      <c r="L366" s="53"/>
    </row>
    <row r="367" spans="1:12" s="54" customFormat="1" ht="13.5" customHeight="1" hidden="1">
      <c r="A367" s="256"/>
      <c r="B367" s="49" t="s">
        <v>341</v>
      </c>
      <c r="C367" s="50">
        <v>50</v>
      </c>
      <c r="D367" s="41" t="s">
        <v>200</v>
      </c>
      <c r="E367" s="113" t="s">
        <v>38</v>
      </c>
      <c r="F367" s="52">
        <f>15.5*1.03</f>
        <v>15.965</v>
      </c>
      <c r="G367" s="52"/>
      <c r="H367" s="44"/>
      <c r="I367" s="249">
        <v>42990</v>
      </c>
      <c r="J367" s="45"/>
      <c r="K367" s="114"/>
      <c r="L367" s="53"/>
    </row>
    <row r="368" spans="1:13" s="89" customFormat="1" ht="13.5" customHeight="1">
      <c r="A368" s="256"/>
      <c r="B368" s="85" t="s">
        <v>341</v>
      </c>
      <c r="C368" s="61"/>
      <c r="D368" s="62" t="s">
        <v>200</v>
      </c>
      <c r="E368" s="112" t="s">
        <v>62</v>
      </c>
      <c r="F368" s="64">
        <f>15.5*1.03</f>
        <v>15.965</v>
      </c>
      <c r="G368" s="64">
        <f>E368*F368</f>
        <v>95.78999999999999</v>
      </c>
      <c r="H368" s="97">
        <f aca="true" t="shared" si="25" ref="H368:H376">I368/(1000/G368)</f>
        <v>9698.7375</v>
      </c>
      <c r="I368" s="97">
        <v>101250</v>
      </c>
      <c r="J368" s="66"/>
      <c r="K368" s="87" t="s">
        <v>130</v>
      </c>
      <c r="L368" s="177"/>
      <c r="M368" s="89">
        <v>281</v>
      </c>
    </row>
    <row r="369" spans="1:13" s="57" customFormat="1" ht="13.5" customHeight="1">
      <c r="A369" s="257"/>
      <c r="B369" s="49" t="s">
        <v>341</v>
      </c>
      <c r="C369" s="50">
        <v>110</v>
      </c>
      <c r="D369" s="41" t="s">
        <v>200</v>
      </c>
      <c r="E369" s="113" t="s">
        <v>73</v>
      </c>
      <c r="F369" s="52">
        <f>15.5*1.03</f>
        <v>15.965</v>
      </c>
      <c r="G369" s="52">
        <f>E369*F369</f>
        <v>191.57999999999998</v>
      </c>
      <c r="H369" s="44">
        <f t="shared" si="25"/>
        <v>15324.484199999999</v>
      </c>
      <c r="I369" s="44">
        <v>79990</v>
      </c>
      <c r="J369" s="45"/>
      <c r="K369" s="46"/>
      <c r="L369" s="229"/>
      <c r="M369" s="57">
        <v>281</v>
      </c>
    </row>
    <row r="370" spans="1:11" s="54" customFormat="1" ht="13.5" customHeight="1" hidden="1">
      <c r="A370" s="256"/>
      <c r="B370" s="49" t="s">
        <v>342</v>
      </c>
      <c r="C370" s="50">
        <v>100</v>
      </c>
      <c r="D370" s="41" t="s">
        <v>200</v>
      </c>
      <c r="E370" s="113" t="s">
        <v>73</v>
      </c>
      <c r="F370" s="52">
        <f>17.3*1.03</f>
        <v>17.819000000000003</v>
      </c>
      <c r="G370" s="52">
        <f>E370*F370</f>
        <v>213.82800000000003</v>
      </c>
      <c r="H370" s="44">
        <f t="shared" si="25"/>
        <v>9406.293720000001</v>
      </c>
      <c r="I370" s="44">
        <v>43990</v>
      </c>
      <c r="J370" s="44"/>
      <c r="K370" s="114"/>
    </row>
    <row r="371" spans="1:11" s="54" customFormat="1" ht="13.5" customHeight="1" hidden="1">
      <c r="A371" s="256"/>
      <c r="B371" s="49" t="s">
        <v>343</v>
      </c>
      <c r="C371" s="50">
        <v>40</v>
      </c>
      <c r="D371" s="41" t="s">
        <v>200</v>
      </c>
      <c r="E371" s="113" t="s">
        <v>344</v>
      </c>
      <c r="F371" s="52">
        <v>19.1</v>
      </c>
      <c r="G371" s="52">
        <f>E371*F371*1.03</f>
        <v>204.59920000000002</v>
      </c>
      <c r="H371" s="44">
        <f t="shared" si="25"/>
        <v>7465.824808000001</v>
      </c>
      <c r="I371" s="44">
        <v>36490</v>
      </c>
      <c r="J371" s="44">
        <f>I371-240</f>
        <v>36250</v>
      </c>
      <c r="K371" s="114"/>
    </row>
    <row r="372" spans="1:11" s="54" customFormat="1" ht="13.5" customHeight="1" hidden="1">
      <c r="A372" s="256"/>
      <c r="B372" s="118" t="s">
        <v>343</v>
      </c>
      <c r="C372" s="119">
        <v>40</v>
      </c>
      <c r="D372" s="127" t="s">
        <v>200</v>
      </c>
      <c r="E372" s="143" t="s">
        <v>78</v>
      </c>
      <c r="F372" s="128">
        <v>19.1</v>
      </c>
      <c r="G372" s="52">
        <f>E372*F372*1.03</f>
        <v>230.1741</v>
      </c>
      <c r="H372" s="123">
        <f t="shared" si="25"/>
        <v>7133.095359000001</v>
      </c>
      <c r="I372" s="44">
        <v>30990</v>
      </c>
      <c r="J372" s="44">
        <f>I372-240</f>
        <v>30750</v>
      </c>
      <c r="K372" s="261"/>
    </row>
    <row r="373" spans="1:11" s="54" customFormat="1" ht="13.5" customHeight="1" hidden="1">
      <c r="A373" s="256"/>
      <c r="B373" s="118" t="s">
        <v>343</v>
      </c>
      <c r="C373" s="119">
        <v>40</v>
      </c>
      <c r="D373" s="127" t="s">
        <v>200</v>
      </c>
      <c r="E373" s="143" t="s">
        <v>73</v>
      </c>
      <c r="F373" s="128">
        <v>19.1</v>
      </c>
      <c r="G373" s="52">
        <f>E373*F373*1.03</f>
        <v>236.07600000000002</v>
      </c>
      <c r="H373" s="123">
        <f t="shared" si="25"/>
        <v>7315.99524</v>
      </c>
      <c r="I373" s="44">
        <v>30990</v>
      </c>
      <c r="J373" s="44">
        <f>I373-240</f>
        <v>30750</v>
      </c>
      <c r="K373" s="261"/>
    </row>
    <row r="374" spans="1:11" s="54" customFormat="1" ht="13.5" customHeight="1" hidden="1">
      <c r="A374" s="256"/>
      <c r="B374" s="118" t="s">
        <v>345</v>
      </c>
      <c r="C374" s="119">
        <v>55</v>
      </c>
      <c r="D374" s="127" t="s">
        <v>200</v>
      </c>
      <c r="E374" s="143" t="s">
        <v>78</v>
      </c>
      <c r="F374" s="128">
        <v>25.5</v>
      </c>
      <c r="G374" s="128">
        <f>E374*F374*1.03</f>
        <v>307.3005</v>
      </c>
      <c r="H374" s="123">
        <f t="shared" si="25"/>
        <v>8908.641495</v>
      </c>
      <c r="I374" s="44">
        <v>28990</v>
      </c>
      <c r="J374" s="44">
        <f>I374-240</f>
        <v>28750</v>
      </c>
      <c r="K374" s="261"/>
    </row>
    <row r="375" spans="1:11" s="54" customFormat="1" ht="13.5" customHeight="1" hidden="1">
      <c r="A375" s="262"/>
      <c r="B375" s="49" t="s">
        <v>346</v>
      </c>
      <c r="C375" s="50">
        <v>65</v>
      </c>
      <c r="D375" s="41" t="s">
        <v>200</v>
      </c>
      <c r="E375" s="113" t="s">
        <v>73</v>
      </c>
      <c r="F375" s="52">
        <f>24.7*1.03</f>
        <v>25.441</v>
      </c>
      <c r="G375" s="52">
        <f>E375*F375</f>
        <v>305.292</v>
      </c>
      <c r="H375" s="44">
        <f t="shared" si="25"/>
        <v>8850.415079999999</v>
      </c>
      <c r="I375" s="44">
        <v>28990</v>
      </c>
      <c r="J375" s="44"/>
      <c r="K375" s="114"/>
    </row>
    <row r="376" spans="1:11" s="54" customFormat="1" ht="13.5" customHeight="1" hidden="1">
      <c r="A376" s="256"/>
      <c r="B376" s="204" t="s">
        <v>347</v>
      </c>
      <c r="C376" s="205">
        <v>65</v>
      </c>
      <c r="D376" s="206" t="s">
        <v>200</v>
      </c>
      <c r="E376" s="220" t="s">
        <v>73</v>
      </c>
      <c r="F376" s="208">
        <v>29.4</v>
      </c>
      <c r="G376" s="208">
        <f>E376*F376*1.03</f>
        <v>363.38399999999996</v>
      </c>
      <c r="H376" s="209">
        <f t="shared" si="25"/>
        <v>10534.502159999998</v>
      </c>
      <c r="I376" s="123">
        <v>28990</v>
      </c>
      <c r="J376" s="209"/>
      <c r="K376" s="178"/>
    </row>
    <row r="377" spans="1:13" s="54" customFormat="1" ht="21" customHeight="1">
      <c r="A377" s="256"/>
      <c r="B377" s="31" t="s">
        <v>348</v>
      </c>
      <c r="C377" s="71"/>
      <c r="D377" s="34"/>
      <c r="E377" s="34"/>
      <c r="F377" s="34"/>
      <c r="G377" s="34"/>
      <c r="H377" s="34"/>
      <c r="I377" s="34"/>
      <c r="J377" s="34"/>
      <c r="K377" s="72"/>
      <c r="M377" s="54">
        <v>278</v>
      </c>
    </row>
    <row r="378" spans="1:11" s="89" customFormat="1" ht="13.5" customHeight="1" hidden="1">
      <c r="A378" s="256"/>
      <c r="B378" s="196" t="s">
        <v>349</v>
      </c>
      <c r="C378" s="95">
        <v>50</v>
      </c>
      <c r="D378" s="86" t="s">
        <v>350</v>
      </c>
      <c r="E378" s="25" t="s">
        <v>351</v>
      </c>
      <c r="F378" s="65">
        <v>4.9</v>
      </c>
      <c r="G378" s="64">
        <v>29.4</v>
      </c>
      <c r="H378" s="66">
        <f aca="true" t="shared" si="26" ref="H378:H391">I378/(1000/G378)</f>
        <v>1896.0059999999999</v>
      </c>
      <c r="I378" s="66">
        <v>64490</v>
      </c>
      <c r="J378" s="66"/>
      <c r="K378" s="87" t="s">
        <v>352</v>
      </c>
    </row>
    <row r="379" spans="1:11" s="89" customFormat="1" ht="13.5" customHeight="1" hidden="1">
      <c r="A379" s="256"/>
      <c r="B379" s="196" t="s">
        <v>349</v>
      </c>
      <c r="C379" s="95">
        <v>50</v>
      </c>
      <c r="D379" s="86" t="s">
        <v>353</v>
      </c>
      <c r="E379" s="25" t="s">
        <v>354</v>
      </c>
      <c r="F379" s="65">
        <v>5.4</v>
      </c>
      <c r="G379" s="64">
        <v>10.8</v>
      </c>
      <c r="H379" s="66">
        <f t="shared" si="26"/>
        <v>685.6920000000001</v>
      </c>
      <c r="I379" s="66">
        <v>63490</v>
      </c>
      <c r="J379" s="66"/>
      <c r="K379" s="87" t="s">
        <v>355</v>
      </c>
    </row>
    <row r="380" spans="1:11" s="89" customFormat="1" ht="13.5" customHeight="1" hidden="1">
      <c r="A380" s="256"/>
      <c r="B380" s="196" t="s">
        <v>349</v>
      </c>
      <c r="C380" s="95">
        <v>50</v>
      </c>
      <c r="D380" s="86" t="s">
        <v>353</v>
      </c>
      <c r="E380" s="25" t="s">
        <v>354</v>
      </c>
      <c r="F380" s="65">
        <v>5.4</v>
      </c>
      <c r="G380" s="64">
        <v>10.8</v>
      </c>
      <c r="H380" s="66">
        <f t="shared" si="26"/>
        <v>588.4920000000001</v>
      </c>
      <c r="I380" s="66">
        <v>54490</v>
      </c>
      <c r="J380" s="66"/>
      <c r="K380" s="87" t="s">
        <v>356</v>
      </c>
    </row>
    <row r="381" spans="1:13" s="54" customFormat="1" ht="13.5" customHeight="1">
      <c r="A381" s="256"/>
      <c r="B381" s="98" t="s">
        <v>349</v>
      </c>
      <c r="C381" s="92">
        <v>50</v>
      </c>
      <c r="D381" s="42" t="s">
        <v>353</v>
      </c>
      <c r="E381" s="173" t="s">
        <v>351</v>
      </c>
      <c r="F381" s="43">
        <v>5.4</v>
      </c>
      <c r="G381" s="52">
        <f>F381*6</f>
        <v>32.400000000000006</v>
      </c>
      <c r="H381" s="45">
        <f t="shared" si="26"/>
        <v>2520.0720000000006</v>
      </c>
      <c r="I381" s="44">
        <v>77780</v>
      </c>
      <c r="J381" s="45"/>
      <c r="K381" s="46"/>
      <c r="L381" s="53"/>
      <c r="M381" s="54">
        <v>278</v>
      </c>
    </row>
    <row r="382" spans="1:11" s="54" customFormat="1" ht="13.5" customHeight="1" hidden="1">
      <c r="A382" s="256"/>
      <c r="B382" s="98" t="s">
        <v>349</v>
      </c>
      <c r="C382" s="92">
        <v>50</v>
      </c>
      <c r="D382" s="42" t="s">
        <v>357</v>
      </c>
      <c r="E382" s="173" t="s">
        <v>351</v>
      </c>
      <c r="F382" s="43">
        <v>5.9</v>
      </c>
      <c r="G382" s="52">
        <v>35.4</v>
      </c>
      <c r="H382" s="45">
        <f t="shared" si="26"/>
        <v>0</v>
      </c>
      <c r="I382" s="45"/>
      <c r="J382" s="45"/>
      <c r="K382" s="46"/>
    </row>
    <row r="383" spans="1:11" s="54" customFormat="1" ht="13.5" customHeight="1" hidden="1">
      <c r="A383" s="256"/>
      <c r="B383" s="98" t="s">
        <v>349</v>
      </c>
      <c r="C383" s="92">
        <v>50</v>
      </c>
      <c r="D383" s="42" t="s">
        <v>358</v>
      </c>
      <c r="E383" s="173" t="s">
        <v>351</v>
      </c>
      <c r="F383" s="43">
        <v>7.4</v>
      </c>
      <c r="G383" s="43">
        <v>44.4</v>
      </c>
      <c r="H383" s="45">
        <f t="shared" si="26"/>
        <v>0</v>
      </c>
      <c r="I383" s="45"/>
      <c r="J383" s="45">
        <f>I383-240</f>
        <v>-240</v>
      </c>
      <c r="K383" s="46"/>
    </row>
    <row r="384" spans="1:11" s="57" customFormat="1" ht="13.5" customHeight="1" hidden="1">
      <c r="A384" s="257"/>
      <c r="B384" s="49" t="s">
        <v>359</v>
      </c>
      <c r="C384" s="50">
        <v>50</v>
      </c>
      <c r="D384" s="41" t="s">
        <v>358</v>
      </c>
      <c r="E384" s="166" t="s">
        <v>360</v>
      </c>
      <c r="F384" s="52">
        <v>7.4</v>
      </c>
      <c r="G384" s="52">
        <v>44.4</v>
      </c>
      <c r="H384" s="45">
        <f t="shared" si="26"/>
        <v>0</v>
      </c>
      <c r="I384" s="45"/>
      <c r="J384" s="45">
        <f>I384-240</f>
        <v>-240</v>
      </c>
      <c r="K384" s="46"/>
    </row>
    <row r="385" spans="1:13" s="54" customFormat="1" ht="13.5" customHeight="1">
      <c r="A385" s="256"/>
      <c r="B385" s="49" t="s">
        <v>361</v>
      </c>
      <c r="C385" s="50">
        <v>50</v>
      </c>
      <c r="D385" s="42" t="s">
        <v>353</v>
      </c>
      <c r="E385" s="166" t="s">
        <v>362</v>
      </c>
      <c r="F385" s="52">
        <v>5.4</v>
      </c>
      <c r="G385" s="52">
        <f>F385*6</f>
        <v>32.400000000000006</v>
      </c>
      <c r="H385" s="45">
        <f t="shared" si="26"/>
        <v>3401.6760000000004</v>
      </c>
      <c r="I385" s="45">
        <v>104990</v>
      </c>
      <c r="J385" s="45"/>
      <c r="K385" s="46"/>
      <c r="L385" s="53"/>
      <c r="M385" s="54">
        <v>278</v>
      </c>
    </row>
    <row r="386" spans="1:11" s="54" customFormat="1" ht="13.5" customHeight="1" hidden="1">
      <c r="A386" s="256"/>
      <c r="B386" s="49" t="s">
        <v>361</v>
      </c>
      <c r="C386" s="50">
        <v>50</v>
      </c>
      <c r="D386" s="41" t="s">
        <v>358</v>
      </c>
      <c r="E386" s="166" t="s">
        <v>362</v>
      </c>
      <c r="F386" s="52">
        <v>7.4</v>
      </c>
      <c r="G386" s="52">
        <v>44.4</v>
      </c>
      <c r="H386" s="45">
        <f t="shared" si="26"/>
        <v>0</v>
      </c>
      <c r="I386" s="45"/>
      <c r="J386" s="45">
        <f>I386-240</f>
        <v>-240</v>
      </c>
      <c r="K386" s="46"/>
    </row>
    <row r="387" spans="1:13" s="54" customFormat="1" ht="13.5" customHeight="1">
      <c r="A387" s="256"/>
      <c r="B387" s="49" t="s">
        <v>363</v>
      </c>
      <c r="C387" s="50">
        <v>50</v>
      </c>
      <c r="D387" s="41" t="s">
        <v>358</v>
      </c>
      <c r="E387" s="166" t="s">
        <v>362</v>
      </c>
      <c r="F387" s="52">
        <v>7.4</v>
      </c>
      <c r="G387" s="52">
        <f>F387*6</f>
        <v>44.400000000000006</v>
      </c>
      <c r="H387" s="44">
        <f t="shared" si="26"/>
        <v>3618.156000000001</v>
      </c>
      <c r="I387" s="44">
        <v>81490</v>
      </c>
      <c r="J387" s="45"/>
      <c r="K387" s="46" t="s">
        <v>364</v>
      </c>
      <c r="M387" s="54">
        <v>278</v>
      </c>
    </row>
    <row r="388" spans="1:13" s="263" customFormat="1" ht="13.5" customHeight="1">
      <c r="A388" s="256"/>
      <c r="B388" s="49" t="s">
        <v>365</v>
      </c>
      <c r="C388" s="50">
        <v>50</v>
      </c>
      <c r="D388" s="41" t="s">
        <v>358</v>
      </c>
      <c r="E388" s="166" t="s">
        <v>366</v>
      </c>
      <c r="F388" s="52">
        <v>6.5</v>
      </c>
      <c r="G388" s="52">
        <v>39</v>
      </c>
      <c r="H388" s="45">
        <f t="shared" si="26"/>
        <v>4289.61</v>
      </c>
      <c r="I388" s="44">
        <v>109990</v>
      </c>
      <c r="J388" s="45"/>
      <c r="K388" s="46"/>
      <c r="M388" s="263">
        <v>278</v>
      </c>
    </row>
    <row r="389" spans="1:11" s="263" customFormat="1" ht="13.5" customHeight="1" hidden="1">
      <c r="A389" s="256"/>
      <c r="B389" s="49" t="s">
        <v>365</v>
      </c>
      <c r="C389" s="50">
        <v>50</v>
      </c>
      <c r="D389" s="41" t="s">
        <v>358</v>
      </c>
      <c r="E389" s="166" t="s">
        <v>367</v>
      </c>
      <c r="F389" s="52">
        <v>7.4</v>
      </c>
      <c r="G389" s="52">
        <v>44.4</v>
      </c>
      <c r="H389" s="45">
        <f t="shared" si="26"/>
        <v>0</v>
      </c>
      <c r="I389" s="45"/>
      <c r="J389" s="45"/>
      <c r="K389" s="46"/>
    </row>
    <row r="390" spans="1:13" s="54" customFormat="1" ht="13.5" customHeight="1">
      <c r="A390" s="256"/>
      <c r="B390" s="49" t="s">
        <v>368</v>
      </c>
      <c r="C390" s="50">
        <v>50</v>
      </c>
      <c r="D390" s="41" t="s">
        <v>358</v>
      </c>
      <c r="E390" s="166" t="s">
        <v>366</v>
      </c>
      <c r="F390" s="52">
        <v>7.4</v>
      </c>
      <c r="G390" s="52">
        <f>F390*6</f>
        <v>44.400000000000006</v>
      </c>
      <c r="H390" s="44">
        <f t="shared" si="26"/>
        <v>4528.356000000001</v>
      </c>
      <c r="I390" s="44">
        <v>101990</v>
      </c>
      <c r="J390" s="45"/>
      <c r="K390" s="46"/>
      <c r="M390" s="54">
        <v>278</v>
      </c>
    </row>
    <row r="391" spans="1:11" s="54" customFormat="1" ht="13.5" customHeight="1" hidden="1">
      <c r="A391" s="256"/>
      <c r="B391" s="49" t="s">
        <v>369</v>
      </c>
      <c r="C391" s="50">
        <v>50</v>
      </c>
      <c r="D391" s="41" t="s">
        <v>370</v>
      </c>
      <c r="E391" s="166" t="s">
        <v>371</v>
      </c>
      <c r="F391" s="52"/>
      <c r="G391" s="52">
        <v>41.67</v>
      </c>
      <c r="H391" s="44">
        <f t="shared" si="26"/>
        <v>1249.6833000000001</v>
      </c>
      <c r="I391" s="44">
        <v>29990</v>
      </c>
      <c r="J391" s="44"/>
      <c r="K391" s="114"/>
    </row>
    <row r="392" spans="1:251" s="37" customFormat="1" ht="21" customHeight="1">
      <c r="A392" s="130"/>
      <c r="B392" s="161" t="s">
        <v>372</v>
      </c>
      <c r="C392" s="71"/>
      <c r="D392" s="162"/>
      <c r="E392" s="162"/>
      <c r="F392" s="162"/>
      <c r="G392" s="162"/>
      <c r="H392" s="162"/>
      <c r="I392" s="162"/>
      <c r="J392" s="162"/>
      <c r="K392" s="163"/>
      <c r="M392" s="37">
        <v>277</v>
      </c>
      <c r="GL392" s="38"/>
      <c r="GM392" s="38"/>
      <c r="GN392" s="38"/>
      <c r="GO392" s="38"/>
      <c r="GP392" s="38"/>
      <c r="GQ392" s="38"/>
      <c r="GR392" s="38"/>
      <c r="GS392" s="38"/>
      <c r="GT392" s="38"/>
      <c r="GU392" s="38"/>
      <c r="GV392" s="38"/>
      <c r="GW392" s="38"/>
      <c r="GX392" s="38"/>
      <c r="GY392" s="38"/>
      <c r="GZ392" s="38"/>
      <c r="HA392" s="38"/>
      <c r="HB392" s="38"/>
      <c r="HC392" s="38"/>
      <c r="HD392" s="38"/>
      <c r="HE392" s="38"/>
      <c r="HF392" s="38"/>
      <c r="HG392" s="38"/>
      <c r="HH392" s="38"/>
      <c r="HI392" s="38"/>
      <c r="HJ392" s="38"/>
      <c r="HK392" s="38"/>
      <c r="HL392" s="38"/>
      <c r="HM392" s="38"/>
      <c r="HN392" s="38"/>
      <c r="HO392" s="38"/>
      <c r="HP392" s="38"/>
      <c r="HQ392" s="38"/>
      <c r="HR392" s="38"/>
      <c r="HS392" s="38"/>
      <c r="HT392" s="38"/>
      <c r="HU392" s="38"/>
      <c r="HV392" s="38"/>
      <c r="HW392" s="38"/>
      <c r="HX392" s="38"/>
      <c r="HY392" s="38"/>
      <c r="HZ392" s="38"/>
      <c r="IA392" s="38"/>
      <c r="IB392" s="38"/>
      <c r="IC392" s="38"/>
      <c r="ID392" s="38"/>
      <c r="IE392" s="38"/>
      <c r="IF392" s="38"/>
      <c r="IG392" s="38"/>
      <c r="IH392" s="38"/>
      <c r="II392" s="38"/>
      <c r="IJ392" s="38"/>
      <c r="IK392" s="38"/>
      <c r="IL392" s="38"/>
      <c r="IM392" s="38"/>
      <c r="IN392" s="38"/>
      <c r="IO392" s="38"/>
      <c r="IP392" s="38"/>
      <c r="IQ392" s="38"/>
    </row>
    <row r="393" spans="1:11" s="54" customFormat="1" ht="13.5" customHeight="1" hidden="1">
      <c r="A393" s="130"/>
      <c r="B393" s="98" t="s">
        <v>373</v>
      </c>
      <c r="C393" s="92"/>
      <c r="D393" s="42" t="s">
        <v>178</v>
      </c>
      <c r="E393" s="173" t="s">
        <v>181</v>
      </c>
      <c r="F393" s="43"/>
      <c r="G393" s="43">
        <v>8</v>
      </c>
      <c r="H393" s="45">
        <f aca="true" t="shared" si="27" ref="H393:H401">I393/(1000/G393)</f>
        <v>443.92</v>
      </c>
      <c r="I393" s="44">
        <v>55490</v>
      </c>
      <c r="J393" s="45"/>
      <c r="K393" s="167"/>
    </row>
    <row r="394" spans="1:11" s="57" customFormat="1" ht="13.5" customHeight="1" hidden="1">
      <c r="A394" s="132"/>
      <c r="B394" s="98" t="s">
        <v>374</v>
      </c>
      <c r="C394" s="92"/>
      <c r="D394" s="42" t="s">
        <v>178</v>
      </c>
      <c r="E394" s="173" t="s">
        <v>181</v>
      </c>
      <c r="F394" s="43"/>
      <c r="G394" s="43">
        <v>8.8</v>
      </c>
      <c r="H394" s="44">
        <f t="shared" si="27"/>
        <v>527.912</v>
      </c>
      <c r="I394" s="44">
        <v>59990</v>
      </c>
      <c r="J394" s="45"/>
      <c r="K394" s="69"/>
    </row>
    <row r="395" spans="1:13" s="54" customFormat="1" ht="13.5" customHeight="1">
      <c r="A395" s="130"/>
      <c r="B395" s="49" t="s">
        <v>373</v>
      </c>
      <c r="C395" s="50"/>
      <c r="D395" s="41" t="s">
        <v>178</v>
      </c>
      <c r="E395" s="166" t="s">
        <v>179</v>
      </c>
      <c r="F395" s="52"/>
      <c r="G395" s="52">
        <v>12.5</v>
      </c>
      <c r="H395" s="44">
        <f t="shared" si="27"/>
        <v>1374.875</v>
      </c>
      <c r="I395" s="44">
        <v>109990</v>
      </c>
      <c r="J395" s="45"/>
      <c r="K395" s="69"/>
      <c r="M395" s="54">
        <v>277</v>
      </c>
    </row>
    <row r="396" spans="1:13" s="54" customFormat="1" ht="13.5" customHeight="1">
      <c r="A396" s="130"/>
      <c r="B396" s="49" t="s">
        <v>374</v>
      </c>
      <c r="C396" s="50"/>
      <c r="D396" s="41" t="s">
        <v>178</v>
      </c>
      <c r="E396" s="166" t="s">
        <v>179</v>
      </c>
      <c r="F396" s="52"/>
      <c r="G396" s="52">
        <v>14</v>
      </c>
      <c r="H396" s="44">
        <f t="shared" si="27"/>
        <v>1539.86</v>
      </c>
      <c r="I396" s="44">
        <v>109990</v>
      </c>
      <c r="J396" s="45"/>
      <c r="K396" s="69"/>
      <c r="L396" s="53"/>
      <c r="M396" s="54">
        <v>277</v>
      </c>
    </row>
    <row r="397" spans="1:11" s="54" customFormat="1" ht="13.5" customHeight="1" hidden="1">
      <c r="A397" s="130"/>
      <c r="B397" s="49" t="s">
        <v>375</v>
      </c>
      <c r="C397" s="50"/>
      <c r="D397" s="41" t="s">
        <v>178</v>
      </c>
      <c r="E397" s="173" t="s">
        <v>181</v>
      </c>
      <c r="F397" s="52"/>
      <c r="G397" s="52">
        <v>11.21</v>
      </c>
      <c r="H397" s="45">
        <f t="shared" si="27"/>
        <v>1232.9879</v>
      </c>
      <c r="I397" s="44">
        <v>109990</v>
      </c>
      <c r="J397" s="45">
        <f>I397-240</f>
        <v>109750</v>
      </c>
      <c r="K397" s="142"/>
    </row>
    <row r="398" spans="1:13" s="54" customFormat="1" ht="13.5" customHeight="1">
      <c r="A398" s="130"/>
      <c r="B398" s="49" t="s">
        <v>375</v>
      </c>
      <c r="C398" s="50"/>
      <c r="D398" s="41" t="s">
        <v>178</v>
      </c>
      <c r="E398" s="166" t="s">
        <v>179</v>
      </c>
      <c r="F398" s="52"/>
      <c r="G398" s="52">
        <v>17.5</v>
      </c>
      <c r="H398" s="44">
        <f t="shared" si="27"/>
        <v>2099.825</v>
      </c>
      <c r="I398" s="44">
        <v>119990</v>
      </c>
      <c r="J398" s="44"/>
      <c r="K398" s="69"/>
      <c r="L398" s="53"/>
      <c r="M398" s="54">
        <v>277</v>
      </c>
    </row>
    <row r="399" spans="1:11" s="54" customFormat="1" ht="13.5" customHeight="1" hidden="1">
      <c r="A399" s="130"/>
      <c r="B399" s="49" t="s">
        <v>376</v>
      </c>
      <c r="C399" s="50"/>
      <c r="D399" s="41" t="s">
        <v>178</v>
      </c>
      <c r="E399" s="166" t="s">
        <v>179</v>
      </c>
      <c r="F399" s="52"/>
      <c r="G399" s="52">
        <v>20</v>
      </c>
      <c r="H399" s="44">
        <f t="shared" si="27"/>
        <v>1249.8</v>
      </c>
      <c r="I399" s="44">
        <v>62490</v>
      </c>
      <c r="J399" s="44"/>
      <c r="K399" s="69"/>
    </row>
    <row r="400" spans="1:11" s="54" customFormat="1" ht="13.5" customHeight="1" hidden="1">
      <c r="A400" s="130"/>
      <c r="B400" s="49" t="s">
        <v>377</v>
      </c>
      <c r="C400" s="50"/>
      <c r="D400" s="41"/>
      <c r="E400" s="166" t="s">
        <v>179</v>
      </c>
      <c r="F400" s="52"/>
      <c r="G400" s="52">
        <v>25.2</v>
      </c>
      <c r="H400" s="44">
        <f t="shared" si="27"/>
        <v>755.7479999999999</v>
      </c>
      <c r="I400" s="44">
        <v>29990</v>
      </c>
      <c r="J400" s="44">
        <f>I400-240</f>
        <v>29750</v>
      </c>
      <c r="K400" s="69"/>
    </row>
    <row r="401" spans="1:11" s="54" customFormat="1" ht="13.5" customHeight="1" hidden="1">
      <c r="A401" s="130"/>
      <c r="B401" s="49" t="s">
        <v>378</v>
      </c>
      <c r="C401" s="50"/>
      <c r="D401" s="41"/>
      <c r="E401" s="166" t="s">
        <v>179</v>
      </c>
      <c r="F401" s="52"/>
      <c r="G401" s="52">
        <v>38</v>
      </c>
      <c r="H401" s="44">
        <f t="shared" si="27"/>
        <v>2194.5</v>
      </c>
      <c r="I401" s="44">
        <v>57750</v>
      </c>
      <c r="J401" s="45"/>
      <c r="K401" s="69"/>
    </row>
    <row r="402" spans="1:11" s="57" customFormat="1" ht="13.5" customHeight="1" hidden="1">
      <c r="A402" s="132"/>
      <c r="B402" s="49" t="s">
        <v>379</v>
      </c>
      <c r="C402" s="50"/>
      <c r="D402" s="41"/>
      <c r="E402" s="166" t="s">
        <v>179</v>
      </c>
      <c r="F402" s="52"/>
      <c r="G402" s="52"/>
      <c r="H402" s="44"/>
      <c r="I402" s="44">
        <v>29990</v>
      </c>
      <c r="J402" s="45">
        <f>I402-240</f>
        <v>29750</v>
      </c>
      <c r="K402" s="69"/>
    </row>
    <row r="403" spans="1:11" s="57" customFormat="1" ht="13.5" customHeight="1" hidden="1">
      <c r="A403" s="132"/>
      <c r="B403" s="49" t="s">
        <v>380</v>
      </c>
      <c r="C403" s="50"/>
      <c r="D403" s="41"/>
      <c r="E403" s="166" t="s">
        <v>179</v>
      </c>
      <c r="F403" s="52"/>
      <c r="G403" s="52">
        <v>75</v>
      </c>
      <c r="H403" s="44">
        <f>I403/(1000/G403)</f>
        <v>2249.25</v>
      </c>
      <c r="I403" s="44">
        <v>29990</v>
      </c>
      <c r="J403" s="45">
        <f>I403-240</f>
        <v>29750</v>
      </c>
      <c r="K403" s="69"/>
    </row>
    <row r="404" spans="1:11" s="54" customFormat="1" ht="13.5" customHeight="1" hidden="1">
      <c r="A404" s="130"/>
      <c r="B404" s="118" t="s">
        <v>381</v>
      </c>
      <c r="C404" s="119"/>
      <c r="D404" s="264"/>
      <c r="E404" s="179" t="s">
        <v>179</v>
      </c>
      <c r="F404" s="128"/>
      <c r="G404" s="128">
        <v>31.68</v>
      </c>
      <c r="H404" s="209">
        <f>I404/(1000/G404)</f>
        <v>950.0831999999999</v>
      </c>
      <c r="I404" s="123">
        <v>29990</v>
      </c>
      <c r="J404" s="209">
        <f>I404-240</f>
        <v>29750</v>
      </c>
      <c r="K404" s="265"/>
    </row>
    <row r="405" spans="1:11" s="54" customFormat="1" ht="13.5" customHeight="1">
      <c r="A405" s="266"/>
      <c r="B405" s="267"/>
      <c r="C405" s="268"/>
      <c r="D405" s="269"/>
      <c r="E405" s="270"/>
      <c r="F405" s="271"/>
      <c r="G405" s="271"/>
      <c r="H405" s="272"/>
      <c r="I405" s="272"/>
      <c r="J405" s="272"/>
      <c r="K405" s="269"/>
    </row>
    <row r="406" spans="1:11" ht="13.5" customHeight="1">
      <c r="A406" s="17" t="s">
        <v>3</v>
      </c>
      <c r="B406" s="302" t="s">
        <v>4</v>
      </c>
      <c r="C406" s="18" t="s">
        <v>5</v>
      </c>
      <c r="D406" s="303" t="s">
        <v>6</v>
      </c>
      <c r="E406" s="20" t="s">
        <v>7</v>
      </c>
      <c r="F406" s="21" t="s">
        <v>8</v>
      </c>
      <c r="G406" s="22" t="s">
        <v>9</v>
      </c>
      <c r="H406" s="23" t="s">
        <v>10</v>
      </c>
      <c r="I406" s="304" t="s">
        <v>11</v>
      </c>
      <c r="J406" s="304"/>
      <c r="K406" s="305" t="s">
        <v>12</v>
      </c>
    </row>
    <row r="407" spans="1:11" ht="13.5" customHeight="1">
      <c r="A407" s="17"/>
      <c r="B407" s="302"/>
      <c r="C407" s="24" t="s">
        <v>13</v>
      </c>
      <c r="D407" s="303"/>
      <c r="E407" s="25" t="s">
        <v>14</v>
      </c>
      <c r="F407" s="26" t="s">
        <v>15</v>
      </c>
      <c r="G407" s="27" t="s">
        <v>15</v>
      </c>
      <c r="H407" s="28" t="s">
        <v>13</v>
      </c>
      <c r="I407" s="29" t="s">
        <v>16</v>
      </c>
      <c r="J407" s="30" t="s">
        <v>17</v>
      </c>
      <c r="K407" s="305"/>
    </row>
    <row r="408" spans="1:13" s="54" customFormat="1" ht="21" customHeight="1">
      <c r="A408" s="130"/>
      <c r="B408" s="31" t="s">
        <v>382</v>
      </c>
      <c r="C408" s="71"/>
      <c r="D408" s="34"/>
      <c r="E408" s="34"/>
      <c r="F408" s="34"/>
      <c r="G408" s="34"/>
      <c r="H408" s="34"/>
      <c r="I408" s="34"/>
      <c r="J408" s="34"/>
      <c r="K408" s="72"/>
      <c r="M408" s="54">
        <v>283</v>
      </c>
    </row>
    <row r="409" spans="1:13" s="54" customFormat="1" ht="13.5" customHeight="1">
      <c r="A409" s="130"/>
      <c r="B409" s="98" t="s">
        <v>383</v>
      </c>
      <c r="C409" s="92">
        <v>8</v>
      </c>
      <c r="D409" s="41" t="s">
        <v>384</v>
      </c>
      <c r="E409" s="113" t="s">
        <v>62</v>
      </c>
      <c r="F409" s="43">
        <f>0.222*1.09</f>
        <v>0.24198000000000003</v>
      </c>
      <c r="G409" s="52">
        <f>E409*F409</f>
        <v>1.45188</v>
      </c>
      <c r="H409" s="45">
        <f>I409/(1000/G409)</f>
        <v>116.13588120000001</v>
      </c>
      <c r="I409" s="45">
        <v>79990</v>
      </c>
      <c r="J409" s="45"/>
      <c r="K409" s="171"/>
      <c r="L409" s="53"/>
      <c r="M409" s="54">
        <v>283</v>
      </c>
    </row>
    <row r="410" spans="1:11" s="54" customFormat="1" ht="13.5" customHeight="1" hidden="1">
      <c r="A410" s="130"/>
      <c r="B410" s="98" t="s">
        <v>385</v>
      </c>
      <c r="C410" s="92">
        <v>6</v>
      </c>
      <c r="D410" s="42" t="s">
        <v>386</v>
      </c>
      <c r="E410" s="113" t="s">
        <v>387</v>
      </c>
      <c r="F410" s="43">
        <v>0.395</v>
      </c>
      <c r="G410" s="43"/>
      <c r="H410" s="45"/>
      <c r="I410" s="273">
        <v>35490</v>
      </c>
      <c r="J410" s="45">
        <f>I410-240</f>
        <v>35250</v>
      </c>
      <c r="K410" s="171"/>
    </row>
    <row r="411" spans="1:11" s="54" customFormat="1" ht="13.5" customHeight="1" hidden="1">
      <c r="A411" s="130"/>
      <c r="B411" s="98" t="s">
        <v>385</v>
      </c>
      <c r="C411" s="92">
        <v>8</v>
      </c>
      <c r="D411" s="42"/>
      <c r="E411" s="211" t="s">
        <v>62</v>
      </c>
      <c r="F411" s="274">
        <f>0.395*1.16</f>
        <v>0.4582</v>
      </c>
      <c r="G411" s="52">
        <f>E411*F411</f>
        <v>2.7492</v>
      </c>
      <c r="H411" s="45">
        <f>I411/(1000/G411)</f>
        <v>114.06430800000001</v>
      </c>
      <c r="I411" s="273">
        <v>41490</v>
      </c>
      <c r="J411" s="45"/>
      <c r="K411" s="171"/>
    </row>
    <row r="412" spans="1:11" s="54" customFormat="1" ht="13.5" customHeight="1" hidden="1">
      <c r="A412" s="130"/>
      <c r="B412" s="98" t="s">
        <v>385</v>
      </c>
      <c r="C412" s="92">
        <v>8</v>
      </c>
      <c r="D412" s="41" t="s">
        <v>384</v>
      </c>
      <c r="E412" s="211" t="s">
        <v>62</v>
      </c>
      <c r="F412" s="274">
        <f>0.395*1.16</f>
        <v>0.4582</v>
      </c>
      <c r="G412" s="52">
        <f>E412*F412</f>
        <v>2.7492</v>
      </c>
      <c r="H412" s="45">
        <f>I412/(1000/G412)</f>
        <v>123.686508</v>
      </c>
      <c r="I412" s="273">
        <v>44990</v>
      </c>
      <c r="J412" s="45"/>
      <c r="K412" s="171"/>
    </row>
    <row r="413" spans="1:13" s="57" customFormat="1" ht="13.5" customHeight="1">
      <c r="A413" s="132"/>
      <c r="B413" s="98" t="s">
        <v>385</v>
      </c>
      <c r="C413" s="92">
        <v>11</v>
      </c>
      <c r="D413" s="41" t="s">
        <v>384</v>
      </c>
      <c r="E413" s="211" t="s">
        <v>62</v>
      </c>
      <c r="F413" s="274">
        <f>0.395*1.16</f>
        <v>0.4582</v>
      </c>
      <c r="G413" s="52">
        <f>E413*F413</f>
        <v>2.7492</v>
      </c>
      <c r="H413" s="45">
        <f>I413/(1000/G413)</f>
        <v>211.660908</v>
      </c>
      <c r="I413" s="45">
        <v>76990</v>
      </c>
      <c r="J413" s="45"/>
      <c r="K413" s="171"/>
      <c r="L413" s="56"/>
      <c r="M413" s="57">
        <v>283</v>
      </c>
    </row>
    <row r="414" spans="1:13" s="57" customFormat="1" ht="13.5" customHeight="1">
      <c r="A414" s="132"/>
      <c r="B414" s="98" t="s">
        <v>385</v>
      </c>
      <c r="C414" s="92">
        <v>11</v>
      </c>
      <c r="D414" s="41" t="s">
        <v>384</v>
      </c>
      <c r="E414" s="211" t="s">
        <v>78</v>
      </c>
      <c r="F414" s="274">
        <f>0.395*1.16</f>
        <v>0.4582</v>
      </c>
      <c r="G414" s="52">
        <f>E414*F414</f>
        <v>5.360939999999999</v>
      </c>
      <c r="H414" s="45">
        <f>I414/(1000/G414)</f>
        <v>412.73877059999995</v>
      </c>
      <c r="I414" s="45">
        <v>76990</v>
      </c>
      <c r="J414" s="45"/>
      <c r="K414" s="171"/>
      <c r="L414" s="56"/>
      <c r="M414" s="57">
        <v>283</v>
      </c>
    </row>
    <row r="415" spans="1:12" s="54" customFormat="1" ht="13.5" customHeight="1" hidden="1">
      <c r="A415" s="130"/>
      <c r="B415" s="98" t="s">
        <v>388</v>
      </c>
      <c r="C415" s="50">
        <v>5</v>
      </c>
      <c r="D415" s="41" t="s">
        <v>384</v>
      </c>
      <c r="E415" s="113" t="s">
        <v>387</v>
      </c>
      <c r="F415" s="274">
        <f>0.62*1.04</f>
        <v>0.6448</v>
      </c>
      <c r="G415" s="43"/>
      <c r="H415" s="45"/>
      <c r="I415" s="45">
        <v>33990</v>
      </c>
      <c r="J415" s="45">
        <f>I415-240</f>
        <v>33750</v>
      </c>
      <c r="K415" s="171"/>
      <c r="L415" s="53"/>
    </row>
    <row r="416" spans="1:12" s="54" customFormat="1" ht="13.5" customHeight="1" hidden="1">
      <c r="A416" s="130"/>
      <c r="B416" s="98" t="s">
        <v>388</v>
      </c>
      <c r="C416" s="50">
        <v>10</v>
      </c>
      <c r="D416" s="41" t="s">
        <v>384</v>
      </c>
      <c r="E416" s="211" t="s">
        <v>62</v>
      </c>
      <c r="F416" s="274">
        <f>0.617*1.05</f>
        <v>0.64785</v>
      </c>
      <c r="G416" s="52">
        <f>E416*F416</f>
        <v>3.8871</v>
      </c>
      <c r="H416" s="45">
        <f>I416/(1000/G416)</f>
        <v>194.316129</v>
      </c>
      <c r="I416" s="45">
        <v>49990</v>
      </c>
      <c r="J416" s="45">
        <f>I416-240</f>
        <v>49750</v>
      </c>
      <c r="K416" s="171"/>
      <c r="L416" s="53"/>
    </row>
    <row r="417" spans="1:13" s="57" customFormat="1" ht="13.5" customHeight="1">
      <c r="A417" s="132"/>
      <c r="B417" s="98" t="s">
        <v>388</v>
      </c>
      <c r="C417" s="50">
        <v>13</v>
      </c>
      <c r="D417" s="41" t="s">
        <v>384</v>
      </c>
      <c r="E417" s="211" t="s">
        <v>78</v>
      </c>
      <c r="F417" s="274">
        <f>0.617*1.05</f>
        <v>0.64785</v>
      </c>
      <c r="G417" s="52">
        <f>E417*F417</f>
        <v>7.579845</v>
      </c>
      <c r="H417" s="45">
        <f>I417/(1000/G417)</f>
        <v>553.25288655</v>
      </c>
      <c r="I417" s="45">
        <v>72990</v>
      </c>
      <c r="J417" s="45"/>
      <c r="K417" s="69"/>
      <c r="L417" s="275"/>
      <c r="M417" s="57">
        <v>283</v>
      </c>
    </row>
    <row r="418" spans="1:12" s="57" customFormat="1" ht="13.5" customHeight="1" hidden="1">
      <c r="A418" s="132"/>
      <c r="B418" s="49" t="s">
        <v>389</v>
      </c>
      <c r="C418" s="50">
        <v>16</v>
      </c>
      <c r="D418" s="41" t="s">
        <v>384</v>
      </c>
      <c r="E418" s="113" t="s">
        <v>62</v>
      </c>
      <c r="F418" s="133">
        <f>0.888*1.05</f>
        <v>0.9324</v>
      </c>
      <c r="G418" s="43">
        <f>E418*F418</f>
        <v>5.5944</v>
      </c>
      <c r="H418" s="45">
        <f>I418/(1000/G418)</f>
        <v>335.60805600000003</v>
      </c>
      <c r="I418" s="45">
        <v>59990</v>
      </c>
      <c r="J418" s="45"/>
      <c r="K418" s="69"/>
      <c r="L418" s="56"/>
    </row>
    <row r="419" spans="1:13" s="57" customFormat="1" ht="13.5" customHeight="1">
      <c r="A419" s="132"/>
      <c r="B419" s="49" t="s">
        <v>389</v>
      </c>
      <c r="C419" s="50">
        <v>16</v>
      </c>
      <c r="D419" s="41" t="s">
        <v>384</v>
      </c>
      <c r="E419" s="113" t="s">
        <v>78</v>
      </c>
      <c r="F419" s="133">
        <f>0.888*1.05</f>
        <v>0.9324</v>
      </c>
      <c r="G419" s="43">
        <f>E419*F419</f>
        <v>10.90908</v>
      </c>
      <c r="H419" s="45">
        <f>I419/(1000/G419)</f>
        <v>790.7992092</v>
      </c>
      <c r="I419" s="45">
        <v>72490</v>
      </c>
      <c r="J419" s="45"/>
      <c r="K419" s="69"/>
      <c r="L419" s="56"/>
      <c r="M419" s="57">
        <v>283</v>
      </c>
    </row>
    <row r="420" spans="1:12" s="57" customFormat="1" ht="13.5" customHeight="1" hidden="1">
      <c r="A420" s="132"/>
      <c r="B420" s="49" t="s">
        <v>389</v>
      </c>
      <c r="C420" s="50">
        <v>12</v>
      </c>
      <c r="D420" s="41" t="s">
        <v>384</v>
      </c>
      <c r="E420" s="113" t="s">
        <v>73</v>
      </c>
      <c r="F420" s="133">
        <f>0.888*1.05</f>
        <v>0.9324</v>
      </c>
      <c r="G420" s="43">
        <f>E420*F420</f>
        <v>11.1888</v>
      </c>
      <c r="H420" s="45">
        <f>I420/(1000/G420)</f>
        <v>419.468112</v>
      </c>
      <c r="I420" s="45">
        <v>37490</v>
      </c>
      <c r="J420" s="45"/>
      <c r="K420" s="69"/>
      <c r="L420" s="56"/>
    </row>
    <row r="421" spans="1:11" s="89" customFormat="1" ht="13.5" customHeight="1" hidden="1">
      <c r="A421" s="130"/>
      <c r="B421" s="196" t="s">
        <v>390</v>
      </c>
      <c r="C421" s="95">
        <v>7</v>
      </c>
      <c r="D421" s="62" t="s">
        <v>384</v>
      </c>
      <c r="E421" s="276" t="s">
        <v>38</v>
      </c>
      <c r="F421" s="65">
        <f>1.21*1.04</f>
        <v>1.2584</v>
      </c>
      <c r="G421" s="65"/>
      <c r="H421" s="66"/>
      <c r="I421" s="45">
        <v>34490</v>
      </c>
      <c r="J421" s="45"/>
      <c r="K421" s="46"/>
    </row>
    <row r="422" spans="1:13" s="57" customFormat="1" ht="13.5" customHeight="1">
      <c r="A422" s="132"/>
      <c r="B422" s="98" t="s">
        <v>390</v>
      </c>
      <c r="C422" s="92">
        <v>19</v>
      </c>
      <c r="D422" s="41" t="s">
        <v>384</v>
      </c>
      <c r="E422" s="93">
        <v>11.7</v>
      </c>
      <c r="F422" s="43">
        <f>1.21*1.05</f>
        <v>1.2705</v>
      </c>
      <c r="G422" s="43">
        <f>E422*F422</f>
        <v>14.864849999999999</v>
      </c>
      <c r="H422" s="45">
        <f>I422/(1000/G422)</f>
        <v>995.7963015</v>
      </c>
      <c r="I422" s="45">
        <v>66990</v>
      </c>
      <c r="J422" s="45"/>
      <c r="K422" s="171"/>
      <c r="M422" s="57">
        <v>283</v>
      </c>
    </row>
    <row r="423" spans="1:13" s="57" customFormat="1" ht="13.5" customHeight="1">
      <c r="A423" s="130"/>
      <c r="B423" s="98" t="s">
        <v>390</v>
      </c>
      <c r="C423" s="92">
        <v>19</v>
      </c>
      <c r="D423" s="41" t="s">
        <v>384</v>
      </c>
      <c r="E423" s="93">
        <v>7.5</v>
      </c>
      <c r="F423" s="43">
        <f>1.21*1.05</f>
        <v>1.2705</v>
      </c>
      <c r="G423" s="43">
        <f>E423*F423</f>
        <v>9.52875</v>
      </c>
      <c r="H423" s="45">
        <f>I423/(1000/G423)</f>
        <v>638.3309624999999</v>
      </c>
      <c r="I423" s="45">
        <v>66990</v>
      </c>
      <c r="J423" s="45"/>
      <c r="K423" s="69"/>
      <c r="L423" s="56"/>
      <c r="M423" s="57">
        <v>283</v>
      </c>
    </row>
    <row r="424" spans="1:12" s="57" customFormat="1" ht="13.5" customHeight="1" hidden="1">
      <c r="A424" s="130"/>
      <c r="B424" s="98"/>
      <c r="C424" s="92"/>
      <c r="D424" s="41"/>
      <c r="E424" s="93"/>
      <c r="F424" s="43"/>
      <c r="G424" s="43"/>
      <c r="H424" s="45"/>
      <c r="I424" s="45">
        <v>70490</v>
      </c>
      <c r="J424" s="45"/>
      <c r="K424" s="69"/>
      <c r="L424" s="56"/>
    </row>
    <row r="425" spans="1:12" s="89" customFormat="1" ht="13.5" customHeight="1" hidden="1">
      <c r="A425" s="130"/>
      <c r="B425" s="49" t="s">
        <v>391</v>
      </c>
      <c r="C425" s="50">
        <v>8</v>
      </c>
      <c r="D425" s="41" t="s">
        <v>384</v>
      </c>
      <c r="E425" s="113" t="s">
        <v>38</v>
      </c>
      <c r="F425" s="52">
        <v>1.58</v>
      </c>
      <c r="G425" s="43"/>
      <c r="H425" s="97"/>
      <c r="I425" s="45">
        <v>70490</v>
      </c>
      <c r="J425" s="45">
        <f>I425-260</f>
        <v>70230</v>
      </c>
      <c r="K425" s="87"/>
      <c r="L425" s="177"/>
    </row>
    <row r="426" spans="1:12" s="57" customFormat="1" ht="13.5" customHeight="1" hidden="1">
      <c r="A426" s="132"/>
      <c r="B426" s="49" t="s">
        <v>391</v>
      </c>
      <c r="C426" s="50">
        <v>16</v>
      </c>
      <c r="D426" s="41" t="s">
        <v>384</v>
      </c>
      <c r="E426" s="113" t="s">
        <v>62</v>
      </c>
      <c r="F426" s="52">
        <f>1.58*1.03</f>
        <v>1.6274000000000002</v>
      </c>
      <c r="G426" s="43">
        <f>E426*F426</f>
        <v>9.764400000000002</v>
      </c>
      <c r="H426" s="44">
        <f>I426/(1000/G426)</f>
        <v>688.2925560000001</v>
      </c>
      <c r="I426" s="45">
        <v>70490</v>
      </c>
      <c r="J426" s="45">
        <f>I426-260</f>
        <v>70230</v>
      </c>
      <c r="K426" s="171"/>
      <c r="L426" s="56"/>
    </row>
    <row r="427" spans="1:12" s="89" customFormat="1" ht="13.5" customHeight="1" hidden="1">
      <c r="A427" s="130"/>
      <c r="B427" s="85" t="s">
        <v>391</v>
      </c>
      <c r="C427" s="61">
        <v>16</v>
      </c>
      <c r="D427" s="62" t="s">
        <v>384</v>
      </c>
      <c r="E427" s="112" t="s">
        <v>78</v>
      </c>
      <c r="F427" s="64">
        <f>1.58*1.03</f>
        <v>1.6274000000000002</v>
      </c>
      <c r="G427" s="65">
        <f>E427*F427</f>
        <v>19.040580000000002</v>
      </c>
      <c r="H427" s="97">
        <f>I427/(1000/G427)</f>
        <v>1342.1704842000001</v>
      </c>
      <c r="I427" s="45">
        <v>70490</v>
      </c>
      <c r="J427" s="45">
        <f>I427-260</f>
        <v>70230</v>
      </c>
      <c r="K427" s="277"/>
      <c r="L427" s="177"/>
    </row>
    <row r="428" spans="1:13" s="57" customFormat="1" ht="13.5" customHeight="1">
      <c r="A428" s="132"/>
      <c r="B428" s="49" t="s">
        <v>391</v>
      </c>
      <c r="C428" s="50">
        <v>21</v>
      </c>
      <c r="D428" s="41" t="s">
        <v>384</v>
      </c>
      <c r="E428" s="113" t="s">
        <v>78</v>
      </c>
      <c r="F428" s="52">
        <f>1.58*1.03</f>
        <v>1.6274000000000002</v>
      </c>
      <c r="G428" s="43">
        <f>E428*F428</f>
        <v>19.040580000000002</v>
      </c>
      <c r="H428" s="44">
        <f>I428/(1000/G428)</f>
        <v>1332.6501942000002</v>
      </c>
      <c r="I428" s="45">
        <v>69990</v>
      </c>
      <c r="J428" s="45"/>
      <c r="K428" s="171"/>
      <c r="L428" s="56"/>
      <c r="M428" s="57">
        <v>283</v>
      </c>
    </row>
    <row r="429" spans="1:12" s="57" customFormat="1" ht="13.5" customHeight="1" hidden="1">
      <c r="A429" s="132"/>
      <c r="B429" s="49" t="s">
        <v>391</v>
      </c>
      <c r="C429" s="50">
        <v>16</v>
      </c>
      <c r="D429" s="41" t="s">
        <v>384</v>
      </c>
      <c r="E429" s="113" t="s">
        <v>73</v>
      </c>
      <c r="F429" s="52">
        <f>1.58*1.03</f>
        <v>1.6274000000000002</v>
      </c>
      <c r="G429" s="43">
        <f>E429*F429</f>
        <v>19.528800000000004</v>
      </c>
      <c r="H429" s="44">
        <f>I429/(1000/G429)</f>
        <v>1376.5851120000002</v>
      </c>
      <c r="I429" s="45">
        <v>70490</v>
      </c>
      <c r="J429" s="45">
        <f>I429-260</f>
        <v>70230</v>
      </c>
      <c r="K429" s="171"/>
      <c r="L429" s="56"/>
    </row>
    <row r="430" spans="1:12" s="57" customFormat="1" ht="13.5" customHeight="1" hidden="1">
      <c r="A430" s="132"/>
      <c r="B430" s="49" t="s">
        <v>392</v>
      </c>
      <c r="C430" s="50">
        <v>18</v>
      </c>
      <c r="D430" s="41"/>
      <c r="E430" s="113" t="s">
        <v>78</v>
      </c>
      <c r="F430" s="52">
        <f>2*1.03</f>
        <v>2.06</v>
      </c>
      <c r="G430" s="52">
        <f>E430*F430</f>
        <v>24.102</v>
      </c>
      <c r="H430" s="44">
        <f>I430/(1000/G430)</f>
        <v>1698.94998</v>
      </c>
      <c r="I430" s="45">
        <v>70490</v>
      </c>
      <c r="J430" s="45">
        <f>I430-260</f>
        <v>70230</v>
      </c>
      <c r="K430" s="46"/>
      <c r="L430" s="56"/>
    </row>
    <row r="431" spans="1:12" s="57" customFormat="1" ht="13.5" customHeight="1" hidden="1">
      <c r="A431" s="132"/>
      <c r="B431" s="118" t="s">
        <v>393</v>
      </c>
      <c r="C431" s="50">
        <v>20</v>
      </c>
      <c r="D431" s="41" t="s">
        <v>384</v>
      </c>
      <c r="E431" s="211" t="s">
        <v>38</v>
      </c>
      <c r="F431" s="52">
        <f>2.47*1.03</f>
        <v>2.5441000000000003</v>
      </c>
      <c r="G431" s="128"/>
      <c r="H431" s="123"/>
      <c r="I431" s="45">
        <v>70490</v>
      </c>
      <c r="J431" s="45">
        <f>I431-260</f>
        <v>70230</v>
      </c>
      <c r="K431" s="120"/>
      <c r="L431" s="56"/>
    </row>
    <row r="432" spans="1:13" s="57" customFormat="1" ht="13.5" customHeight="1">
      <c r="A432" s="130"/>
      <c r="B432" s="49" t="s">
        <v>393</v>
      </c>
      <c r="C432" s="50">
        <v>26</v>
      </c>
      <c r="D432" s="41" t="s">
        <v>384</v>
      </c>
      <c r="E432" s="51">
        <v>11.7</v>
      </c>
      <c r="F432" s="52">
        <f>2.47*1.03</f>
        <v>2.5441000000000003</v>
      </c>
      <c r="G432" s="52">
        <f>E432*F432</f>
        <v>29.76597</v>
      </c>
      <c r="H432" s="44">
        <f>I432/(1000/G432)</f>
        <v>2083.3202402999996</v>
      </c>
      <c r="I432" s="45">
        <v>69990</v>
      </c>
      <c r="J432" s="45"/>
      <c r="K432" s="69"/>
      <c r="L432" s="56"/>
      <c r="M432" s="57">
        <v>283</v>
      </c>
    </row>
    <row r="433" spans="1:11" s="57" customFormat="1" ht="13.5" customHeight="1" hidden="1">
      <c r="A433" s="130"/>
      <c r="B433" s="49" t="s">
        <v>394</v>
      </c>
      <c r="C433" s="50">
        <v>22</v>
      </c>
      <c r="D433" s="41" t="s">
        <v>384</v>
      </c>
      <c r="E433" s="51">
        <v>11.7</v>
      </c>
      <c r="F433" s="52">
        <f>2.98*1.04</f>
        <v>3.0992</v>
      </c>
      <c r="G433" s="52">
        <f>E433*F433</f>
        <v>36.26064</v>
      </c>
      <c r="H433" s="44">
        <f>I433/(1000/G433)</f>
        <v>988.1024400000001</v>
      </c>
      <c r="I433" s="45">
        <v>27250</v>
      </c>
      <c r="J433" s="44">
        <f>I433-240</f>
        <v>27010</v>
      </c>
      <c r="K433" s="114"/>
    </row>
    <row r="434" spans="1:11" s="57" customFormat="1" ht="13.5" customHeight="1" hidden="1">
      <c r="A434" s="132"/>
      <c r="B434" s="49" t="s">
        <v>395</v>
      </c>
      <c r="C434" s="50">
        <v>25</v>
      </c>
      <c r="D434" s="41"/>
      <c r="E434" s="51">
        <v>11.7</v>
      </c>
      <c r="F434" s="52">
        <f>3.85*1.032</f>
        <v>3.9732000000000003</v>
      </c>
      <c r="G434" s="52">
        <f>E434*F434</f>
        <v>46.48644</v>
      </c>
      <c r="H434" s="44">
        <f>I434/(1000/G434)</f>
        <v>1266.75549</v>
      </c>
      <c r="I434" s="45">
        <v>27250</v>
      </c>
      <c r="J434" s="44">
        <f>I434-240</f>
        <v>27010</v>
      </c>
      <c r="K434" s="114"/>
    </row>
    <row r="435" spans="1:11" s="57" customFormat="1" ht="13.5" customHeight="1" hidden="1">
      <c r="A435" s="132"/>
      <c r="B435" s="49" t="s">
        <v>396</v>
      </c>
      <c r="C435" s="50">
        <v>28</v>
      </c>
      <c r="D435" s="41"/>
      <c r="E435" s="51">
        <v>11.7</v>
      </c>
      <c r="F435" s="52">
        <v>4.83</v>
      </c>
      <c r="G435" s="52">
        <f>E435*F435</f>
        <v>56.510999999999996</v>
      </c>
      <c r="H435" s="44">
        <f>I435/(1000/G435)</f>
        <v>1539.92475</v>
      </c>
      <c r="I435" s="45">
        <v>27250</v>
      </c>
      <c r="J435" s="44">
        <f>I435-240</f>
        <v>27010</v>
      </c>
      <c r="K435" s="114"/>
    </row>
    <row r="436" spans="1:11" s="57" customFormat="1" ht="13.5" customHeight="1" hidden="1">
      <c r="A436" s="132"/>
      <c r="B436" s="118" t="s">
        <v>397</v>
      </c>
      <c r="C436" s="119">
        <v>32</v>
      </c>
      <c r="D436" s="127"/>
      <c r="E436" s="121">
        <v>11.7</v>
      </c>
      <c r="F436" s="128">
        <v>6.31</v>
      </c>
      <c r="G436" s="128">
        <f>E436*F436</f>
        <v>73.82699999999998</v>
      </c>
      <c r="H436" s="123">
        <f>I436/(1000/G436)</f>
        <v>2011.7857499999996</v>
      </c>
      <c r="I436" s="45">
        <v>27250</v>
      </c>
      <c r="J436" s="123"/>
      <c r="K436" s="131"/>
    </row>
    <row r="437" spans="1:13" s="54" customFormat="1" ht="21" customHeight="1">
      <c r="A437" s="130"/>
      <c r="B437" s="31" t="s">
        <v>398</v>
      </c>
      <c r="C437" s="71"/>
      <c r="D437" s="34"/>
      <c r="E437" s="34"/>
      <c r="F437" s="34"/>
      <c r="G437" s="34"/>
      <c r="H437" s="34"/>
      <c r="I437" s="34"/>
      <c r="J437" s="34"/>
      <c r="K437" s="72"/>
      <c r="M437" s="54">
        <v>284</v>
      </c>
    </row>
    <row r="438" spans="1:13" s="54" customFormat="1" ht="13.5" customHeight="1">
      <c r="A438" s="130"/>
      <c r="B438" s="49" t="s">
        <v>399</v>
      </c>
      <c r="C438" s="50">
        <v>8</v>
      </c>
      <c r="D438" s="41" t="s">
        <v>200</v>
      </c>
      <c r="E438" s="51">
        <v>6</v>
      </c>
      <c r="F438" s="52">
        <f>0.222*1.07</f>
        <v>0.23754000000000003</v>
      </c>
      <c r="G438" s="52">
        <f>E438*F438</f>
        <v>1.42524</v>
      </c>
      <c r="H438" s="44">
        <f>I438/(1000/G438)</f>
        <v>121.1311476</v>
      </c>
      <c r="I438" s="44">
        <v>84990</v>
      </c>
      <c r="J438" s="44"/>
      <c r="K438" s="69"/>
      <c r="M438" s="54">
        <v>284</v>
      </c>
    </row>
    <row r="439" spans="1:11" s="57" customFormat="1" ht="13.5" customHeight="1" hidden="1">
      <c r="A439" s="132"/>
      <c r="B439" s="49" t="s">
        <v>400</v>
      </c>
      <c r="C439" s="50">
        <v>7</v>
      </c>
      <c r="D439" s="41" t="s">
        <v>200</v>
      </c>
      <c r="E439" s="51">
        <v>6</v>
      </c>
      <c r="F439" s="52">
        <f>0.26*1.07</f>
        <v>0.2782</v>
      </c>
      <c r="G439" s="52">
        <f>E439*F439</f>
        <v>1.6692</v>
      </c>
      <c r="H439" s="44">
        <f>I439/(1000/G439)</f>
        <v>85.11250799999999</v>
      </c>
      <c r="I439" s="44">
        <v>50990</v>
      </c>
      <c r="J439" s="44"/>
      <c r="K439" s="200"/>
    </row>
    <row r="440" spans="1:11" s="54" customFormat="1" ht="13.5" customHeight="1" hidden="1">
      <c r="A440" s="130"/>
      <c r="B440" s="49" t="s">
        <v>400</v>
      </c>
      <c r="C440" s="50">
        <v>7</v>
      </c>
      <c r="D440" s="41" t="s">
        <v>200</v>
      </c>
      <c r="E440" s="51">
        <v>9</v>
      </c>
      <c r="F440" s="52">
        <f>0.26*1.07</f>
        <v>0.2782</v>
      </c>
      <c r="G440" s="52">
        <f>E440*F440</f>
        <v>2.5038</v>
      </c>
      <c r="H440" s="44">
        <f>I440/(1000/G440)</f>
        <v>112.64596200000001</v>
      </c>
      <c r="I440" s="44">
        <v>44990</v>
      </c>
      <c r="J440" s="44"/>
      <c r="K440" s="215"/>
    </row>
    <row r="441" spans="1:11" s="54" customFormat="1" ht="13.5" customHeight="1" hidden="1">
      <c r="A441" s="130"/>
      <c r="B441" s="49" t="s">
        <v>400</v>
      </c>
      <c r="C441" s="50"/>
      <c r="D441" s="41" t="s">
        <v>200</v>
      </c>
      <c r="E441" s="113" t="s">
        <v>387</v>
      </c>
      <c r="F441" s="52"/>
      <c r="G441" s="44"/>
      <c r="H441" s="44"/>
      <c r="I441" s="44">
        <v>44990</v>
      </c>
      <c r="J441" s="44"/>
      <c r="K441" s="215"/>
    </row>
    <row r="442" spans="1:13" s="54" customFormat="1" ht="13.5" customHeight="1">
      <c r="A442" s="130"/>
      <c r="B442" s="49" t="s">
        <v>401</v>
      </c>
      <c r="C442" s="50">
        <v>11</v>
      </c>
      <c r="D442" s="41" t="s">
        <v>200</v>
      </c>
      <c r="E442" s="113" t="s">
        <v>62</v>
      </c>
      <c r="F442" s="52">
        <f>0.395*1.063</f>
        <v>0.419885</v>
      </c>
      <c r="G442" s="52">
        <f>E442*F442</f>
        <v>2.51931</v>
      </c>
      <c r="H442" s="44">
        <f>I442/(1000/G442)</f>
        <v>212.85650189999998</v>
      </c>
      <c r="I442" s="44">
        <v>84490</v>
      </c>
      <c r="J442" s="44"/>
      <c r="K442" s="46"/>
      <c r="L442" s="229"/>
      <c r="M442" s="54">
        <v>284</v>
      </c>
    </row>
    <row r="443" spans="1:11" s="54" customFormat="1" ht="13.5" customHeight="1" hidden="1">
      <c r="A443" s="130"/>
      <c r="B443" s="49" t="s">
        <v>401</v>
      </c>
      <c r="C443" s="50">
        <v>8</v>
      </c>
      <c r="D443" s="41" t="s">
        <v>200</v>
      </c>
      <c r="E443" s="113" t="s">
        <v>258</v>
      </c>
      <c r="F443" s="52">
        <f>0.395*1.063</f>
        <v>0.419885</v>
      </c>
      <c r="G443" s="52">
        <f>E443*F443</f>
        <v>3.778965</v>
      </c>
      <c r="H443" s="44">
        <f>I443/(1000/G443)</f>
        <v>122.77857285</v>
      </c>
      <c r="I443" s="44">
        <v>32490</v>
      </c>
      <c r="J443" s="44"/>
      <c r="K443" s="114"/>
    </row>
    <row r="444" spans="1:11" s="54" customFormat="1" ht="13.5" customHeight="1" hidden="1">
      <c r="A444" s="130"/>
      <c r="B444" s="49" t="s">
        <v>401</v>
      </c>
      <c r="C444" s="50">
        <v>8</v>
      </c>
      <c r="D444" s="41" t="s">
        <v>200</v>
      </c>
      <c r="E444" s="113" t="s">
        <v>78</v>
      </c>
      <c r="F444" s="52">
        <v>0.395</v>
      </c>
      <c r="G444" s="44">
        <v>860</v>
      </c>
      <c r="H444" s="44">
        <f>I444/(1000/G444)</f>
        <v>27941.399999999998</v>
      </c>
      <c r="I444" s="44">
        <v>32490</v>
      </c>
      <c r="J444" s="44">
        <f>I444-240</f>
        <v>32250</v>
      </c>
      <c r="K444" s="114"/>
    </row>
    <row r="445" spans="1:11" s="54" customFormat="1" ht="13.5" customHeight="1" hidden="1">
      <c r="A445" s="130"/>
      <c r="B445" s="49" t="s">
        <v>401</v>
      </c>
      <c r="C445" s="50">
        <v>8</v>
      </c>
      <c r="D445" s="41" t="s">
        <v>200</v>
      </c>
      <c r="E445" s="113" t="s">
        <v>387</v>
      </c>
      <c r="F445" s="52"/>
      <c r="G445" s="44">
        <v>850</v>
      </c>
      <c r="H445" s="44">
        <f>I445/(1000/G445)</f>
        <v>27616.5</v>
      </c>
      <c r="I445" s="44">
        <v>32490</v>
      </c>
      <c r="J445" s="44">
        <f>I445-240</f>
        <v>32250</v>
      </c>
      <c r="K445" s="114"/>
    </row>
    <row r="446" spans="1:11" s="54" customFormat="1" ht="13.5" customHeight="1" hidden="1">
      <c r="A446" s="130"/>
      <c r="B446" s="118" t="s">
        <v>402</v>
      </c>
      <c r="C446" s="119">
        <v>8</v>
      </c>
      <c r="D446" s="127" t="s">
        <v>200</v>
      </c>
      <c r="E446" s="143" t="s">
        <v>387</v>
      </c>
      <c r="F446" s="128"/>
      <c r="G446" s="123">
        <v>850</v>
      </c>
      <c r="H446" s="123">
        <f>I446/(1000/G446)</f>
        <v>27616.5</v>
      </c>
      <c r="I446" s="123">
        <v>32490</v>
      </c>
      <c r="J446" s="123">
        <f>I446-240</f>
        <v>32250</v>
      </c>
      <c r="K446" s="131"/>
    </row>
    <row r="447" spans="1:13" s="54" customFormat="1" ht="21" customHeight="1">
      <c r="A447" s="130"/>
      <c r="B447" s="31" t="s">
        <v>403</v>
      </c>
      <c r="C447" s="71"/>
      <c r="D447" s="34"/>
      <c r="E447" s="34"/>
      <c r="F447" s="34"/>
      <c r="G447" s="34"/>
      <c r="H447" s="34"/>
      <c r="I447" s="34"/>
      <c r="J447" s="34"/>
      <c r="K447" s="72"/>
      <c r="M447" s="54">
        <v>282</v>
      </c>
    </row>
    <row r="448" spans="1:11" s="54" customFormat="1" ht="13.5" customHeight="1" hidden="1">
      <c r="A448" s="130"/>
      <c r="B448" s="49" t="s">
        <v>404</v>
      </c>
      <c r="C448" s="50">
        <v>7</v>
      </c>
      <c r="D448" s="41">
        <v>20</v>
      </c>
      <c r="E448" s="113" t="s">
        <v>38</v>
      </c>
      <c r="F448" s="133">
        <f>0.302*1.04</f>
        <v>0.31408</v>
      </c>
      <c r="G448" s="52"/>
      <c r="H448" s="45"/>
      <c r="I448" s="44">
        <v>59990</v>
      </c>
      <c r="J448" s="45"/>
      <c r="K448" s="46" t="s">
        <v>405</v>
      </c>
    </row>
    <row r="449" spans="1:13" s="57" customFormat="1" ht="13.5" customHeight="1">
      <c r="A449" s="132"/>
      <c r="B449" s="49" t="s">
        <v>406</v>
      </c>
      <c r="C449" s="50">
        <v>13</v>
      </c>
      <c r="D449" s="41" t="s">
        <v>407</v>
      </c>
      <c r="E449" s="113" t="s">
        <v>62</v>
      </c>
      <c r="F449" s="133">
        <f>0.616*1.06</f>
        <v>0.65296</v>
      </c>
      <c r="G449" s="52">
        <f>E449*F449</f>
        <v>3.91776</v>
      </c>
      <c r="H449" s="45">
        <f>I449/(1000/G449)</f>
        <v>332.9704224</v>
      </c>
      <c r="I449" s="44">
        <v>84990</v>
      </c>
      <c r="J449" s="44"/>
      <c r="K449" s="46"/>
      <c r="L449" s="186"/>
      <c r="M449" s="57">
        <v>282</v>
      </c>
    </row>
    <row r="450" spans="1:11" s="54" customFormat="1" ht="13.5" customHeight="1" hidden="1">
      <c r="A450" s="130"/>
      <c r="B450" s="49" t="s">
        <v>406</v>
      </c>
      <c r="C450" s="50">
        <v>13</v>
      </c>
      <c r="D450" s="41" t="s">
        <v>407</v>
      </c>
      <c r="E450" s="113" t="s">
        <v>78</v>
      </c>
      <c r="F450" s="133">
        <f>0.616*1.06</f>
        <v>0.65296</v>
      </c>
      <c r="G450" s="52">
        <f>E450*F450</f>
        <v>7.639632</v>
      </c>
      <c r="H450" s="45">
        <f>I450/(1000/G450)</f>
        <v>557.61673968</v>
      </c>
      <c r="I450" s="44">
        <v>72990</v>
      </c>
      <c r="J450" s="44"/>
      <c r="K450" s="46"/>
    </row>
    <row r="451" spans="1:11" s="54" customFormat="1" ht="13.5" customHeight="1" hidden="1">
      <c r="A451" s="130"/>
      <c r="B451" s="49" t="s">
        <v>408</v>
      </c>
      <c r="C451" s="50">
        <v>10</v>
      </c>
      <c r="D451" s="41" t="s">
        <v>200</v>
      </c>
      <c r="E451" s="113" t="s">
        <v>38</v>
      </c>
      <c r="F451" s="52">
        <f>0.89*1.04</f>
        <v>0.9256000000000001</v>
      </c>
      <c r="G451" s="52"/>
      <c r="H451" s="45"/>
      <c r="I451" s="44">
        <v>72990</v>
      </c>
      <c r="J451" s="44">
        <f>I451-240</f>
        <v>72750</v>
      </c>
      <c r="K451" s="174"/>
    </row>
    <row r="452" spans="1:11" s="54" customFormat="1" ht="13.5" customHeight="1" hidden="1">
      <c r="A452" s="130"/>
      <c r="B452" s="49" t="s">
        <v>408</v>
      </c>
      <c r="C452" s="50">
        <v>16</v>
      </c>
      <c r="D452" s="41" t="s">
        <v>407</v>
      </c>
      <c r="E452" s="113" t="s">
        <v>62</v>
      </c>
      <c r="F452" s="133">
        <f>0.888*1.05</f>
        <v>0.9324</v>
      </c>
      <c r="G452" s="52">
        <f aca="true" t="shared" si="28" ref="G452:G461">E452*F452</f>
        <v>5.5944</v>
      </c>
      <c r="H452" s="45">
        <f aca="true" t="shared" si="29" ref="H452:H461">I452/(1000/G452)</f>
        <v>441.901656</v>
      </c>
      <c r="I452" s="44">
        <v>78990</v>
      </c>
      <c r="J452" s="44"/>
      <c r="K452" s="278"/>
    </row>
    <row r="453" spans="1:13" s="57" customFormat="1" ht="13.5" customHeight="1">
      <c r="A453" s="132"/>
      <c r="B453" s="49" t="s">
        <v>408</v>
      </c>
      <c r="C453" s="50">
        <v>16</v>
      </c>
      <c r="D453" s="41" t="s">
        <v>407</v>
      </c>
      <c r="E453" s="113" t="s">
        <v>62</v>
      </c>
      <c r="F453" s="133">
        <f>0.888*1.05</f>
        <v>0.9324</v>
      </c>
      <c r="G453" s="52">
        <f t="shared" si="28"/>
        <v>5.5944</v>
      </c>
      <c r="H453" s="45">
        <f t="shared" si="29"/>
        <v>475.468056</v>
      </c>
      <c r="I453" s="44">
        <v>84990</v>
      </c>
      <c r="J453" s="44"/>
      <c r="K453" s="46"/>
      <c r="M453" s="57">
        <v>282</v>
      </c>
    </row>
    <row r="454" spans="1:11" s="54" customFormat="1" ht="13.5" customHeight="1" hidden="1">
      <c r="A454" s="130"/>
      <c r="B454" s="49" t="s">
        <v>408</v>
      </c>
      <c r="C454" s="50">
        <v>12</v>
      </c>
      <c r="D454" s="41" t="s">
        <v>407</v>
      </c>
      <c r="E454" s="113" t="s">
        <v>78</v>
      </c>
      <c r="F454" s="133">
        <f>0.888*1.05</f>
        <v>0.9324</v>
      </c>
      <c r="G454" s="52">
        <f t="shared" si="28"/>
        <v>10.90908</v>
      </c>
      <c r="H454" s="45">
        <f t="shared" si="29"/>
        <v>927.1627091999999</v>
      </c>
      <c r="I454" s="44">
        <v>84990</v>
      </c>
      <c r="J454" s="44"/>
      <c r="K454" s="278"/>
    </row>
    <row r="455" spans="1:11" s="54" customFormat="1" ht="13.5" customHeight="1" hidden="1">
      <c r="A455" s="130"/>
      <c r="B455" s="49" t="s">
        <v>409</v>
      </c>
      <c r="C455" s="50">
        <v>14</v>
      </c>
      <c r="D455" s="41" t="s">
        <v>287</v>
      </c>
      <c r="E455" s="113" t="s">
        <v>62</v>
      </c>
      <c r="F455" s="52">
        <f>1.21*1.04</f>
        <v>1.2584</v>
      </c>
      <c r="G455" s="52">
        <f t="shared" si="28"/>
        <v>7.5504</v>
      </c>
      <c r="H455" s="45">
        <f t="shared" si="29"/>
        <v>641.708496</v>
      </c>
      <c r="I455" s="44">
        <v>84990</v>
      </c>
      <c r="J455" s="44"/>
      <c r="K455" s="114"/>
    </row>
    <row r="456" spans="1:11" s="54" customFormat="1" ht="13.5" customHeight="1" hidden="1">
      <c r="A456" s="130"/>
      <c r="B456" s="49" t="s">
        <v>409</v>
      </c>
      <c r="C456" s="50">
        <v>28</v>
      </c>
      <c r="D456" s="41" t="s">
        <v>407</v>
      </c>
      <c r="E456" s="51">
        <v>6</v>
      </c>
      <c r="F456" s="52">
        <f>1.21*1.04</f>
        <v>1.2584</v>
      </c>
      <c r="G456" s="52">
        <f t="shared" si="28"/>
        <v>7.5504</v>
      </c>
      <c r="H456" s="45">
        <f t="shared" si="29"/>
        <v>641.708496</v>
      </c>
      <c r="I456" s="44">
        <v>84990</v>
      </c>
      <c r="J456" s="44"/>
      <c r="K456" s="46"/>
    </row>
    <row r="457" spans="1:13" s="54" customFormat="1" ht="13.5" customHeight="1">
      <c r="A457" s="130"/>
      <c r="B457" s="49" t="s">
        <v>409</v>
      </c>
      <c r="C457" s="50">
        <v>19</v>
      </c>
      <c r="D457" s="41" t="s">
        <v>407</v>
      </c>
      <c r="E457" s="51">
        <v>11.7</v>
      </c>
      <c r="F457" s="52">
        <f>1.21*1.04</f>
        <v>1.2584</v>
      </c>
      <c r="G457" s="52">
        <f t="shared" si="28"/>
        <v>14.723279999999999</v>
      </c>
      <c r="H457" s="45">
        <f t="shared" si="29"/>
        <v>1251.3315672</v>
      </c>
      <c r="I457" s="44">
        <v>84990</v>
      </c>
      <c r="J457" s="44"/>
      <c r="K457" s="46"/>
      <c r="M457" s="54">
        <v>282</v>
      </c>
    </row>
    <row r="458" spans="1:13" s="54" customFormat="1" ht="13.5" customHeight="1">
      <c r="A458" s="130"/>
      <c r="B458" s="49" t="s">
        <v>410</v>
      </c>
      <c r="C458" s="50">
        <v>21</v>
      </c>
      <c r="D458" s="41" t="s">
        <v>407</v>
      </c>
      <c r="E458" s="51">
        <v>11.7</v>
      </c>
      <c r="F458" s="52">
        <f>1.58*1.038</f>
        <v>1.6400400000000002</v>
      </c>
      <c r="G458" s="52">
        <f t="shared" si="28"/>
        <v>19.188468</v>
      </c>
      <c r="H458" s="45">
        <f t="shared" si="29"/>
        <v>1630.82789532</v>
      </c>
      <c r="I458" s="44">
        <v>84990</v>
      </c>
      <c r="J458" s="44"/>
      <c r="K458" s="46"/>
      <c r="M458" s="54">
        <v>282</v>
      </c>
    </row>
    <row r="459" spans="1:11" s="57" customFormat="1" ht="13.5" customHeight="1" hidden="1">
      <c r="A459" s="132"/>
      <c r="B459" s="49" t="s">
        <v>410</v>
      </c>
      <c r="C459" s="50">
        <v>21</v>
      </c>
      <c r="D459" s="41" t="s">
        <v>407</v>
      </c>
      <c r="E459" s="51">
        <v>11.7</v>
      </c>
      <c r="F459" s="52">
        <f>1.58*1.038</f>
        <v>1.6400400000000002</v>
      </c>
      <c r="G459" s="52">
        <f t="shared" si="28"/>
        <v>19.188468</v>
      </c>
      <c r="H459" s="45">
        <f t="shared" si="29"/>
        <v>1630.82789532</v>
      </c>
      <c r="I459" s="44">
        <v>84990</v>
      </c>
      <c r="J459" s="44"/>
      <c r="K459" s="46"/>
    </row>
    <row r="460" spans="1:13" s="57" customFormat="1" ht="13.5" customHeight="1">
      <c r="A460" s="132"/>
      <c r="B460" s="49" t="s">
        <v>411</v>
      </c>
      <c r="C460" s="50">
        <v>24</v>
      </c>
      <c r="D460" s="41" t="s">
        <v>407</v>
      </c>
      <c r="E460" s="51">
        <v>6</v>
      </c>
      <c r="F460" s="52">
        <f>2*1.033</f>
        <v>2.066</v>
      </c>
      <c r="G460" s="52">
        <f t="shared" si="28"/>
        <v>12.395999999999999</v>
      </c>
      <c r="H460" s="45">
        <f t="shared" si="29"/>
        <v>1065.93204</v>
      </c>
      <c r="I460" s="44">
        <v>85990</v>
      </c>
      <c r="J460" s="44"/>
      <c r="K460" s="46"/>
      <c r="M460" s="57">
        <v>282</v>
      </c>
    </row>
    <row r="461" spans="1:11" s="57" customFormat="1" ht="13.5" customHeight="1" hidden="1">
      <c r="A461" s="132"/>
      <c r="B461" s="49" t="s">
        <v>411</v>
      </c>
      <c r="C461" s="50">
        <v>24</v>
      </c>
      <c r="D461" s="41" t="s">
        <v>407</v>
      </c>
      <c r="E461" s="51">
        <v>11.7</v>
      </c>
      <c r="F461" s="52">
        <f>2*1.033</f>
        <v>2.066</v>
      </c>
      <c r="G461" s="52">
        <f t="shared" si="28"/>
        <v>24.172199999999997</v>
      </c>
      <c r="H461" s="45">
        <f t="shared" si="29"/>
        <v>2054.3952779999995</v>
      </c>
      <c r="I461" s="44">
        <v>84990</v>
      </c>
      <c r="J461" s="44"/>
      <c r="K461" s="46"/>
    </row>
    <row r="462" spans="1:11" s="57" customFormat="1" ht="14.25" customHeight="1" hidden="1">
      <c r="A462" s="132"/>
      <c r="B462" s="49" t="s">
        <v>412</v>
      </c>
      <c r="C462" s="50">
        <v>20</v>
      </c>
      <c r="D462" s="41" t="s">
        <v>407</v>
      </c>
      <c r="E462" s="51" t="s">
        <v>38</v>
      </c>
      <c r="F462" s="52">
        <f>2.47*1.04</f>
        <v>2.5688000000000004</v>
      </c>
      <c r="G462" s="52"/>
      <c r="H462" s="45"/>
      <c r="I462" s="44">
        <v>84990</v>
      </c>
      <c r="J462" s="44">
        <f>I462-240</f>
        <v>84750</v>
      </c>
      <c r="K462" s="114"/>
    </row>
    <row r="463" spans="1:11" s="57" customFormat="1" ht="14.25" customHeight="1" hidden="1">
      <c r="A463" s="132"/>
      <c r="B463" s="49" t="s">
        <v>412</v>
      </c>
      <c r="C463" s="50">
        <v>20</v>
      </c>
      <c r="D463" s="41" t="s">
        <v>407</v>
      </c>
      <c r="E463" s="51">
        <v>6</v>
      </c>
      <c r="F463" s="52">
        <f>2.47*1.04</f>
        <v>2.5688000000000004</v>
      </c>
      <c r="G463" s="52">
        <f aca="true" t="shared" si="30" ref="G463:G475">E463*F463</f>
        <v>15.412800000000002</v>
      </c>
      <c r="H463" s="44">
        <f aca="true" t="shared" si="31" ref="H463:H475">I463/(1000/G463)</f>
        <v>1309.9338720000003</v>
      </c>
      <c r="I463" s="44">
        <v>84990</v>
      </c>
      <c r="J463" s="44"/>
      <c r="K463" s="114"/>
    </row>
    <row r="464" spans="1:11" s="57" customFormat="1" ht="13.5" customHeight="1" hidden="1">
      <c r="A464" s="132"/>
      <c r="B464" s="49" t="s">
        <v>412</v>
      </c>
      <c r="C464" s="50">
        <v>20</v>
      </c>
      <c r="D464" s="41" t="s">
        <v>407</v>
      </c>
      <c r="E464" s="51">
        <v>6</v>
      </c>
      <c r="F464" s="52">
        <f>2.47*1.04</f>
        <v>2.5688000000000004</v>
      </c>
      <c r="G464" s="52">
        <f t="shared" si="30"/>
        <v>15.412800000000002</v>
      </c>
      <c r="H464" s="44">
        <f t="shared" si="31"/>
        <v>1309.9338720000003</v>
      </c>
      <c r="I464" s="44">
        <v>84990</v>
      </c>
      <c r="J464" s="44"/>
      <c r="K464" s="46"/>
    </row>
    <row r="465" spans="1:13" s="57" customFormat="1" ht="13.5" customHeight="1">
      <c r="A465" s="132"/>
      <c r="B465" s="49" t="s">
        <v>412</v>
      </c>
      <c r="C465" s="50">
        <v>26</v>
      </c>
      <c r="D465" s="41" t="s">
        <v>407</v>
      </c>
      <c r="E465" s="51">
        <v>6</v>
      </c>
      <c r="F465" s="52">
        <f>2.47*1.04</f>
        <v>2.5688000000000004</v>
      </c>
      <c r="G465" s="52">
        <f t="shared" si="30"/>
        <v>15.412800000000002</v>
      </c>
      <c r="H465" s="44">
        <f t="shared" si="31"/>
        <v>1325.3466720000004</v>
      </c>
      <c r="I465" s="44">
        <v>85990</v>
      </c>
      <c r="J465" s="44"/>
      <c r="K465" s="46"/>
      <c r="M465" s="57">
        <v>282</v>
      </c>
    </row>
    <row r="466" spans="1:11" s="57" customFormat="1" ht="13.5" customHeight="1" hidden="1">
      <c r="A466" s="132"/>
      <c r="B466" s="49" t="s">
        <v>412</v>
      </c>
      <c r="C466" s="50">
        <v>26</v>
      </c>
      <c r="D466" s="41" t="s">
        <v>407</v>
      </c>
      <c r="E466" s="51">
        <v>11.7</v>
      </c>
      <c r="F466" s="52">
        <f>2.47*1.04</f>
        <v>2.5688000000000004</v>
      </c>
      <c r="G466" s="52">
        <f t="shared" si="30"/>
        <v>30.054960000000005</v>
      </c>
      <c r="H466" s="44">
        <f t="shared" si="31"/>
        <v>1953.2718504000002</v>
      </c>
      <c r="I466" s="44">
        <v>64990</v>
      </c>
      <c r="J466" s="44"/>
      <c r="K466" s="46"/>
    </row>
    <row r="467" spans="1:11" s="54" customFormat="1" ht="13.5" customHeight="1" hidden="1">
      <c r="A467" s="130"/>
      <c r="B467" s="49" t="s">
        <v>413</v>
      </c>
      <c r="C467" s="50">
        <v>22</v>
      </c>
      <c r="D467" s="41" t="s">
        <v>407</v>
      </c>
      <c r="E467" s="51">
        <v>6</v>
      </c>
      <c r="F467" s="52">
        <f>2.98*1.036</f>
        <v>3.0872800000000002</v>
      </c>
      <c r="G467" s="52">
        <f t="shared" si="30"/>
        <v>18.523680000000002</v>
      </c>
      <c r="H467" s="45">
        <f t="shared" si="31"/>
        <v>1259.4250032000002</v>
      </c>
      <c r="I467" s="249">
        <v>67990</v>
      </c>
      <c r="J467" s="44"/>
      <c r="K467" s="114"/>
    </row>
    <row r="468" spans="1:11" s="54" customFormat="1" ht="13.5" customHeight="1" hidden="1">
      <c r="A468" s="130"/>
      <c r="B468" s="49" t="s">
        <v>413</v>
      </c>
      <c r="C468" s="50">
        <v>22</v>
      </c>
      <c r="D468" s="41" t="s">
        <v>407</v>
      </c>
      <c r="E468" s="51">
        <v>11.7</v>
      </c>
      <c r="F468" s="52">
        <f>2.98*1.036</f>
        <v>3.0872800000000002</v>
      </c>
      <c r="G468" s="52">
        <f t="shared" si="30"/>
        <v>36.121176</v>
      </c>
      <c r="H468" s="45">
        <f t="shared" si="31"/>
        <v>2455.87875624</v>
      </c>
      <c r="I468" s="249">
        <v>67990</v>
      </c>
      <c r="J468" s="44"/>
      <c r="K468" s="114"/>
    </row>
    <row r="469" spans="1:13" s="54" customFormat="1" ht="13.5" customHeight="1">
      <c r="A469" s="130"/>
      <c r="B469" s="49" t="s">
        <v>414</v>
      </c>
      <c r="C469" s="50">
        <v>32</v>
      </c>
      <c r="D469" s="41" t="s">
        <v>407</v>
      </c>
      <c r="E469" s="113" t="s">
        <v>62</v>
      </c>
      <c r="F469" s="52">
        <f>3.55*1.033</f>
        <v>3.6671499999999995</v>
      </c>
      <c r="G469" s="52">
        <f t="shared" si="30"/>
        <v>22.002899999999997</v>
      </c>
      <c r="H469" s="44">
        <f t="shared" si="31"/>
        <v>1892.0293709999996</v>
      </c>
      <c r="I469" s="44">
        <v>85990</v>
      </c>
      <c r="J469" s="44"/>
      <c r="K469" s="46"/>
      <c r="M469" s="54">
        <v>282</v>
      </c>
    </row>
    <row r="470" spans="1:11" s="54" customFormat="1" ht="13.5" customHeight="1" hidden="1">
      <c r="A470" s="130"/>
      <c r="B470" s="49" t="s">
        <v>415</v>
      </c>
      <c r="C470" s="50">
        <v>50</v>
      </c>
      <c r="D470" s="41" t="s">
        <v>407</v>
      </c>
      <c r="E470" s="51">
        <v>6</v>
      </c>
      <c r="F470" s="52">
        <f>3.85*1.032</f>
        <v>3.9732000000000003</v>
      </c>
      <c r="G470" s="52">
        <f t="shared" si="30"/>
        <v>23.8392</v>
      </c>
      <c r="H470" s="44">
        <f t="shared" si="31"/>
        <v>1728.103608</v>
      </c>
      <c r="I470" s="44">
        <v>72490</v>
      </c>
      <c r="J470" s="44"/>
      <c r="K470" s="46"/>
    </row>
    <row r="471" spans="1:13" s="54" customFormat="1" ht="13.5" customHeight="1">
      <c r="A471" s="130"/>
      <c r="B471" s="49" t="s">
        <v>415</v>
      </c>
      <c r="C471" s="50">
        <v>33</v>
      </c>
      <c r="D471" s="41" t="s">
        <v>407</v>
      </c>
      <c r="E471" s="51">
        <v>6</v>
      </c>
      <c r="F471" s="52">
        <f>3.85*1.032</f>
        <v>3.9732000000000003</v>
      </c>
      <c r="G471" s="52">
        <f t="shared" si="30"/>
        <v>23.8392</v>
      </c>
      <c r="H471" s="44">
        <f t="shared" si="31"/>
        <v>2049.932808</v>
      </c>
      <c r="I471" s="44">
        <v>85990</v>
      </c>
      <c r="J471" s="44"/>
      <c r="K471" s="46"/>
      <c r="M471" s="54">
        <v>282</v>
      </c>
    </row>
    <row r="472" spans="1:11" s="54" customFormat="1" ht="13.5" customHeight="1" hidden="1">
      <c r="A472" s="130"/>
      <c r="B472" s="49" t="s">
        <v>415</v>
      </c>
      <c r="C472" s="50">
        <v>25</v>
      </c>
      <c r="D472" s="41" t="s">
        <v>407</v>
      </c>
      <c r="E472" s="113" t="s">
        <v>78</v>
      </c>
      <c r="F472" s="52">
        <f>3.85*1.032</f>
        <v>3.9732000000000003</v>
      </c>
      <c r="G472" s="52">
        <f t="shared" si="30"/>
        <v>46.48644</v>
      </c>
      <c r="H472" s="44">
        <f t="shared" si="31"/>
        <v>3997.3689756</v>
      </c>
      <c r="I472" s="44">
        <v>85990</v>
      </c>
      <c r="J472" s="44"/>
      <c r="K472" s="46"/>
    </row>
    <row r="473" spans="1:11" s="54" customFormat="1" ht="13.5" customHeight="1" hidden="1">
      <c r="A473" s="130"/>
      <c r="B473" s="49" t="s">
        <v>416</v>
      </c>
      <c r="C473" s="50">
        <v>28</v>
      </c>
      <c r="D473" s="41" t="s">
        <v>407</v>
      </c>
      <c r="E473" s="113" t="s">
        <v>62</v>
      </c>
      <c r="F473" s="52">
        <f>4.83*1.03</f>
        <v>4.9749</v>
      </c>
      <c r="G473" s="52">
        <f t="shared" si="30"/>
        <v>29.8494</v>
      </c>
      <c r="H473" s="45">
        <f t="shared" si="31"/>
        <v>2566.749906</v>
      </c>
      <c r="I473" s="44">
        <v>85990</v>
      </c>
      <c r="J473" s="45"/>
      <c r="K473" s="114"/>
    </row>
    <row r="474" spans="1:13" s="54" customFormat="1" ht="13.5" customHeight="1">
      <c r="A474" s="130"/>
      <c r="B474" s="49" t="s">
        <v>417</v>
      </c>
      <c r="C474" s="50">
        <v>40</v>
      </c>
      <c r="D474" s="41" t="s">
        <v>407</v>
      </c>
      <c r="E474" s="113" t="s">
        <v>62</v>
      </c>
      <c r="F474" s="52">
        <f>5.55*1.03</f>
        <v>5.7165</v>
      </c>
      <c r="G474" s="52">
        <f t="shared" si="30"/>
        <v>34.299</v>
      </c>
      <c r="H474" s="45">
        <f t="shared" si="31"/>
        <v>2949.3710100000003</v>
      </c>
      <c r="I474" s="44">
        <v>85990</v>
      </c>
      <c r="J474" s="44"/>
      <c r="K474" s="46"/>
      <c r="M474" s="54">
        <v>282</v>
      </c>
    </row>
    <row r="475" spans="1:11" s="279" customFormat="1" ht="13.5" customHeight="1" hidden="1">
      <c r="A475" s="130"/>
      <c r="B475" s="49" t="s">
        <v>418</v>
      </c>
      <c r="C475" s="50">
        <v>36</v>
      </c>
      <c r="D475" s="41" t="s">
        <v>407</v>
      </c>
      <c r="E475" s="113" t="s">
        <v>419</v>
      </c>
      <c r="F475" s="52">
        <f>7.99*1.04</f>
        <v>8.3096</v>
      </c>
      <c r="G475" s="52">
        <f t="shared" si="30"/>
        <v>39.88608</v>
      </c>
      <c r="H475" s="45">
        <f t="shared" si="31"/>
        <v>2991.0571391999997</v>
      </c>
      <c r="I475" s="44">
        <v>74990</v>
      </c>
      <c r="J475" s="44"/>
      <c r="K475" s="114"/>
    </row>
    <row r="476" spans="1:11" s="279" customFormat="1" ht="13.5" customHeight="1" hidden="1">
      <c r="A476" s="130"/>
      <c r="B476" s="49" t="s">
        <v>420</v>
      </c>
      <c r="C476" s="50">
        <v>28</v>
      </c>
      <c r="D476" s="41" t="s">
        <v>407</v>
      </c>
      <c r="E476" s="113" t="s">
        <v>38</v>
      </c>
      <c r="F476" s="52">
        <f>8.9*1.04</f>
        <v>9.256</v>
      </c>
      <c r="G476" s="52"/>
      <c r="H476" s="44"/>
      <c r="I476" s="44">
        <v>74990</v>
      </c>
      <c r="J476" s="44"/>
      <c r="K476" s="114"/>
    </row>
    <row r="477" spans="1:13" s="279" customFormat="1" ht="13.5" customHeight="1">
      <c r="A477" s="130"/>
      <c r="B477" s="49" t="s">
        <v>421</v>
      </c>
      <c r="C477" s="50">
        <v>53</v>
      </c>
      <c r="D477" s="41" t="s">
        <v>407</v>
      </c>
      <c r="E477" s="113" t="s">
        <v>62</v>
      </c>
      <c r="F477" s="52">
        <f>9.86*1.01</f>
        <v>9.958599999999999</v>
      </c>
      <c r="G477" s="52">
        <f>E477*F477</f>
        <v>59.751599999999996</v>
      </c>
      <c r="H477" s="44">
        <f>I477/(1000/G477)</f>
        <v>4480.772484</v>
      </c>
      <c r="I477" s="44">
        <v>74990</v>
      </c>
      <c r="J477" s="44"/>
      <c r="K477" s="46"/>
      <c r="M477" s="279">
        <v>282</v>
      </c>
    </row>
    <row r="478" spans="1:11" s="279" customFormat="1" ht="13.5" customHeight="1" hidden="1">
      <c r="A478" s="130"/>
      <c r="B478" s="49" t="s">
        <v>422</v>
      </c>
      <c r="C478" s="50">
        <v>42</v>
      </c>
      <c r="D478" s="41" t="s">
        <v>407</v>
      </c>
      <c r="E478" s="51"/>
      <c r="F478" s="52"/>
      <c r="G478" s="52"/>
      <c r="H478" s="44"/>
      <c r="I478" s="44">
        <v>74990</v>
      </c>
      <c r="J478" s="44"/>
      <c r="K478" s="114"/>
    </row>
    <row r="479" spans="1:11" s="279" customFormat="1" ht="13.5" customHeight="1" hidden="1">
      <c r="A479" s="130"/>
      <c r="B479" s="49" t="s">
        <v>423</v>
      </c>
      <c r="C479" s="50">
        <v>33</v>
      </c>
      <c r="D479" s="41" t="s">
        <v>407</v>
      </c>
      <c r="E479" s="113" t="s">
        <v>38</v>
      </c>
      <c r="F479" s="52">
        <f>12.5*1.04</f>
        <v>13</v>
      </c>
      <c r="G479" s="52"/>
      <c r="H479" s="44"/>
      <c r="I479" s="44">
        <v>74990</v>
      </c>
      <c r="J479" s="44"/>
      <c r="K479" s="114"/>
    </row>
    <row r="480" spans="1:11" s="279" customFormat="1" ht="13.5" customHeight="1" hidden="1">
      <c r="A480" s="130"/>
      <c r="B480" s="49" t="s">
        <v>424</v>
      </c>
      <c r="C480" s="50">
        <v>24</v>
      </c>
      <c r="D480" s="41" t="s">
        <v>407</v>
      </c>
      <c r="E480" s="51">
        <v>5.5</v>
      </c>
      <c r="F480" s="52">
        <v>14.2</v>
      </c>
      <c r="G480" s="52">
        <f>E480*F480</f>
        <v>78.1</v>
      </c>
      <c r="H480" s="44">
        <f>I480/(1000/G480)</f>
        <v>5856.718999999999</v>
      </c>
      <c r="I480" s="44">
        <v>74990</v>
      </c>
      <c r="J480" s="44"/>
      <c r="K480" s="114"/>
    </row>
    <row r="481" spans="1:13" s="279" customFormat="1" ht="13.5" customHeight="1">
      <c r="A481" s="130"/>
      <c r="B481" s="49" t="s">
        <v>425</v>
      </c>
      <c r="C481" s="50">
        <v>65</v>
      </c>
      <c r="D481" s="41" t="s">
        <v>407</v>
      </c>
      <c r="E481" s="113" t="s">
        <v>62</v>
      </c>
      <c r="F481" s="52">
        <f>15.42*1.01</f>
        <v>15.5742</v>
      </c>
      <c r="G481" s="52">
        <f>E481*F481</f>
        <v>93.4452</v>
      </c>
      <c r="H481" s="44">
        <f>I481/(1000/G481)</f>
        <v>7007.455547999999</v>
      </c>
      <c r="I481" s="44">
        <v>74990</v>
      </c>
      <c r="J481" s="44"/>
      <c r="K481" s="46"/>
      <c r="M481" s="279">
        <v>282</v>
      </c>
    </row>
    <row r="482" spans="1:11" s="279" customFormat="1" ht="13.5" customHeight="1" hidden="1">
      <c r="A482" s="130"/>
      <c r="B482" s="49" t="s">
        <v>426</v>
      </c>
      <c r="C482" s="50">
        <v>42</v>
      </c>
      <c r="D482" s="41"/>
      <c r="E482" s="113" t="s">
        <v>38</v>
      </c>
      <c r="F482" s="52">
        <f>19.33*1.04</f>
        <v>20.103199999999998</v>
      </c>
      <c r="G482" s="52"/>
      <c r="H482" s="44"/>
      <c r="I482" s="44">
        <v>42490</v>
      </c>
      <c r="J482" s="45"/>
      <c r="K482" s="280"/>
    </row>
    <row r="483" spans="1:11" s="279" customFormat="1" ht="13.5" customHeight="1" hidden="1">
      <c r="A483" s="130"/>
      <c r="B483" s="49" t="s">
        <v>427</v>
      </c>
      <c r="C483" s="50">
        <v>75</v>
      </c>
      <c r="D483" s="41"/>
      <c r="E483" s="113" t="s">
        <v>38</v>
      </c>
      <c r="F483" s="52">
        <f>22.19*1.01</f>
        <v>22.411900000000003</v>
      </c>
      <c r="G483" s="52"/>
      <c r="H483" s="44"/>
      <c r="I483" s="44">
        <v>39990</v>
      </c>
      <c r="J483" s="45"/>
      <c r="K483" s="280"/>
    </row>
    <row r="484" spans="1:11" s="279" customFormat="1" ht="13.5" customHeight="1" hidden="1">
      <c r="A484" s="130"/>
      <c r="B484" s="49" t="s">
        <v>427</v>
      </c>
      <c r="C484" s="50">
        <v>60</v>
      </c>
      <c r="D484" s="41" t="s">
        <v>407</v>
      </c>
      <c r="E484" s="113" t="s">
        <v>62</v>
      </c>
      <c r="F484" s="52">
        <f>22.19*1.01</f>
        <v>22.411900000000003</v>
      </c>
      <c r="G484" s="52">
        <f>E484*F484</f>
        <v>134.47140000000002</v>
      </c>
      <c r="H484" s="44">
        <f>I484/(1000/G484)</f>
        <v>4301.740086000001</v>
      </c>
      <c r="I484" s="44">
        <v>31990</v>
      </c>
      <c r="J484" s="44"/>
      <c r="K484" s="280"/>
    </row>
    <row r="485" spans="1:11" s="279" customFormat="1" ht="13.5" customHeight="1" hidden="1">
      <c r="A485" s="130"/>
      <c r="B485" s="49" t="s">
        <v>428</v>
      </c>
      <c r="C485" s="50">
        <v>70</v>
      </c>
      <c r="D485" s="41"/>
      <c r="E485" s="113" t="s">
        <v>38</v>
      </c>
      <c r="F485" s="52">
        <f>30.21*1.007</f>
        <v>30.42147</v>
      </c>
      <c r="G485" s="52"/>
      <c r="H485" s="44"/>
      <c r="I485" s="44">
        <v>29990</v>
      </c>
      <c r="J485" s="45"/>
      <c r="K485" s="280"/>
    </row>
    <row r="486" spans="1:11" s="279" customFormat="1" ht="13.5" customHeight="1" hidden="1">
      <c r="A486" s="130"/>
      <c r="B486" s="49" t="s">
        <v>429</v>
      </c>
      <c r="C486" s="50">
        <v>48</v>
      </c>
      <c r="D486" s="41" t="s">
        <v>430</v>
      </c>
      <c r="E486" s="113" t="s">
        <v>38</v>
      </c>
      <c r="F486" s="52">
        <v>26.05</v>
      </c>
      <c r="G486" s="52"/>
      <c r="H486" s="44"/>
      <c r="I486" s="44">
        <v>49990</v>
      </c>
      <c r="J486" s="45"/>
      <c r="K486" s="280"/>
    </row>
    <row r="487" spans="1:11" s="279" customFormat="1" ht="13.5" customHeight="1" hidden="1">
      <c r="A487" s="130"/>
      <c r="B487" s="49" t="s">
        <v>428</v>
      </c>
      <c r="C487" s="50">
        <v>35</v>
      </c>
      <c r="D487" s="41" t="s">
        <v>197</v>
      </c>
      <c r="E487" s="113" t="s">
        <v>38</v>
      </c>
      <c r="F487" s="52">
        <v>30.21</v>
      </c>
      <c r="G487" s="52"/>
      <c r="H487" s="44"/>
      <c r="I487" s="44">
        <v>25990</v>
      </c>
      <c r="J487" s="45">
        <f>I487-240</f>
        <v>25750</v>
      </c>
      <c r="K487" s="280"/>
    </row>
    <row r="488" spans="1:11" s="279" customFormat="1" ht="13.5" customHeight="1" hidden="1">
      <c r="A488" s="130"/>
      <c r="B488" s="49" t="s">
        <v>431</v>
      </c>
      <c r="C488" s="50">
        <v>40</v>
      </c>
      <c r="D488" s="41"/>
      <c r="E488" s="113" t="s">
        <v>432</v>
      </c>
      <c r="F488" s="52">
        <f>39.46*1.04</f>
        <v>41.0384</v>
      </c>
      <c r="G488" s="52">
        <f>E488*F488</f>
        <v>227.76312000000001</v>
      </c>
      <c r="H488" s="44">
        <f>I488/(1000/G488)</f>
        <v>5919.5634888</v>
      </c>
      <c r="I488" s="44">
        <v>25990</v>
      </c>
      <c r="J488" s="44"/>
      <c r="K488" s="280"/>
    </row>
    <row r="489" spans="1:11" s="279" customFormat="1" ht="13.5" customHeight="1" hidden="1">
      <c r="A489" s="130"/>
      <c r="B489" s="49" t="s">
        <v>433</v>
      </c>
      <c r="C489" s="50">
        <v>42</v>
      </c>
      <c r="D489" s="41">
        <v>45</v>
      </c>
      <c r="E489" s="113" t="s">
        <v>38</v>
      </c>
      <c r="F489" s="52">
        <v>44.54</v>
      </c>
      <c r="G489" s="52"/>
      <c r="H489" s="44"/>
      <c r="I489" s="44">
        <v>19990</v>
      </c>
      <c r="J489" s="44"/>
      <c r="K489" s="280"/>
    </row>
    <row r="490" spans="1:11" s="279" customFormat="1" ht="13.5" customHeight="1" hidden="1">
      <c r="A490" s="130"/>
      <c r="B490" s="118" t="s">
        <v>434</v>
      </c>
      <c r="C490" s="119">
        <v>45</v>
      </c>
      <c r="D490" s="127">
        <v>35</v>
      </c>
      <c r="E490" s="113" t="s">
        <v>38</v>
      </c>
      <c r="F490" s="128">
        <v>49.94</v>
      </c>
      <c r="G490" s="52"/>
      <c r="H490" s="44"/>
      <c r="I490" s="44">
        <v>20490</v>
      </c>
      <c r="J490" s="45"/>
      <c r="K490" s="281"/>
    </row>
    <row r="491" spans="1:11" s="279" customFormat="1" ht="13.5" customHeight="1" hidden="1">
      <c r="A491" s="130"/>
      <c r="B491" s="49" t="s">
        <v>435</v>
      </c>
      <c r="C491" s="50">
        <v>50</v>
      </c>
      <c r="D491" s="41" t="s">
        <v>197</v>
      </c>
      <c r="E491" s="113" t="s">
        <v>38</v>
      </c>
      <c r="F491" s="52">
        <v>61.65</v>
      </c>
      <c r="G491" s="52"/>
      <c r="H491" s="44"/>
      <c r="I491" s="44">
        <v>19990</v>
      </c>
      <c r="J491" s="44"/>
      <c r="K491" s="215"/>
    </row>
    <row r="492" spans="1:11" s="279" customFormat="1" ht="13.5" customHeight="1" hidden="1">
      <c r="A492" s="130"/>
      <c r="B492" s="49" t="s">
        <v>436</v>
      </c>
      <c r="C492" s="50">
        <v>55</v>
      </c>
      <c r="D492" s="41">
        <v>45</v>
      </c>
      <c r="E492" s="113" t="s">
        <v>38</v>
      </c>
      <c r="F492" s="52">
        <v>74.6</v>
      </c>
      <c r="G492" s="52"/>
      <c r="H492" s="44"/>
      <c r="I492" s="44">
        <v>20490</v>
      </c>
      <c r="J492" s="44"/>
      <c r="K492" s="280"/>
    </row>
    <row r="493" spans="1:11" s="279" customFormat="1" ht="13.5" customHeight="1" hidden="1">
      <c r="A493" s="130"/>
      <c r="B493" s="49" t="s">
        <v>437</v>
      </c>
      <c r="C493" s="50">
        <v>60</v>
      </c>
      <c r="D493" s="41" t="s">
        <v>197</v>
      </c>
      <c r="E493" s="113" t="s">
        <v>62</v>
      </c>
      <c r="F493" s="52">
        <f>88.78*1.007</f>
        <v>89.40145999999999</v>
      </c>
      <c r="G493" s="52">
        <f>E493*F493</f>
        <v>536.4087599999999</v>
      </c>
      <c r="H493" s="44">
        <f>I493/(1000/G493)</f>
        <v>16086.898712399998</v>
      </c>
      <c r="I493" s="44">
        <v>29990</v>
      </c>
      <c r="J493" s="44"/>
      <c r="K493" s="280"/>
    </row>
    <row r="494" spans="1:11" s="279" customFormat="1" ht="13.5" customHeight="1" hidden="1">
      <c r="A494" s="130"/>
      <c r="B494" s="49" t="s">
        <v>438</v>
      </c>
      <c r="C494" s="50">
        <v>75</v>
      </c>
      <c r="D494" s="41">
        <v>45</v>
      </c>
      <c r="E494" s="113" t="s">
        <v>38</v>
      </c>
      <c r="F494" s="52">
        <v>138.65</v>
      </c>
      <c r="G494" s="52"/>
      <c r="H494" s="44"/>
      <c r="I494" s="44">
        <v>29990</v>
      </c>
      <c r="J494" s="44"/>
      <c r="K494" s="280"/>
    </row>
    <row r="495" spans="1:11" s="279" customFormat="1" ht="13.5" customHeight="1" hidden="1">
      <c r="A495" s="130"/>
      <c r="B495" s="118" t="s">
        <v>439</v>
      </c>
      <c r="C495" s="119">
        <v>80</v>
      </c>
      <c r="D495" s="127" t="s">
        <v>197</v>
      </c>
      <c r="E495" s="113" t="s">
        <v>38</v>
      </c>
      <c r="F495" s="128">
        <v>157.83</v>
      </c>
      <c r="G495" s="52"/>
      <c r="H495" s="44"/>
      <c r="I495" s="44">
        <v>29990</v>
      </c>
      <c r="J495" s="123">
        <v>17490</v>
      </c>
      <c r="K495" s="281"/>
    </row>
    <row r="496" spans="1:11" s="279" customFormat="1" ht="13.5" customHeight="1" hidden="1">
      <c r="A496" s="130"/>
      <c r="B496" s="118" t="s">
        <v>440</v>
      </c>
      <c r="C496" s="119">
        <v>200</v>
      </c>
      <c r="D496" s="127">
        <v>40</v>
      </c>
      <c r="E496" s="143" t="s">
        <v>441</v>
      </c>
      <c r="F496" s="128">
        <v>326.15</v>
      </c>
      <c r="G496" s="128">
        <f>E496*F496</f>
        <v>81.5375</v>
      </c>
      <c r="H496" s="123">
        <f>I496/(1000/G496)</f>
        <v>2445.309625</v>
      </c>
      <c r="I496" s="123">
        <v>29990</v>
      </c>
      <c r="J496" s="123"/>
      <c r="K496" s="143"/>
    </row>
    <row r="497" spans="1:13" s="54" customFormat="1" ht="21" customHeight="1">
      <c r="A497" s="256"/>
      <c r="B497" s="31" t="s">
        <v>442</v>
      </c>
      <c r="C497" s="71"/>
      <c r="D497" s="34"/>
      <c r="E497" s="34"/>
      <c r="F497" s="34"/>
      <c r="G497" s="34"/>
      <c r="H497" s="34"/>
      <c r="I497" s="34"/>
      <c r="J497" s="34"/>
      <c r="K497" s="72"/>
      <c r="M497" s="54">
        <v>285</v>
      </c>
    </row>
    <row r="498" spans="1:11" s="37" customFormat="1" ht="13.5" customHeight="1" hidden="1">
      <c r="A498" s="256"/>
      <c r="B498" s="49" t="s">
        <v>443</v>
      </c>
      <c r="C498" s="50">
        <v>3</v>
      </c>
      <c r="D498" s="41"/>
      <c r="E498" s="113" t="s">
        <v>444</v>
      </c>
      <c r="F498" s="52"/>
      <c r="G498" s="52">
        <v>4.2</v>
      </c>
      <c r="H498" s="45">
        <f>I498/(1000/G498)</f>
        <v>91.35000000000001</v>
      </c>
      <c r="I498" s="45">
        <v>21750</v>
      </c>
      <c r="J498" s="45"/>
      <c r="K498" s="114"/>
    </row>
    <row r="499" spans="1:13" s="192" customFormat="1" ht="13.5" customHeight="1">
      <c r="A499" s="257"/>
      <c r="B499" s="49" t="s">
        <v>443</v>
      </c>
      <c r="C499" s="50">
        <v>13</v>
      </c>
      <c r="D499" s="41"/>
      <c r="E499" s="113" t="s">
        <v>62</v>
      </c>
      <c r="F499" s="52">
        <f>0.785*1.06</f>
        <v>0.8321000000000001</v>
      </c>
      <c r="G499" s="52">
        <f>E499*F499</f>
        <v>4.9926</v>
      </c>
      <c r="H499" s="45">
        <f>I499/(1000/G499)</f>
        <v>434.30627400000003</v>
      </c>
      <c r="I499" s="44">
        <v>86990</v>
      </c>
      <c r="J499" s="45"/>
      <c r="K499" s="46"/>
      <c r="L499" s="47"/>
      <c r="M499" s="192">
        <v>285</v>
      </c>
    </row>
    <row r="500" spans="1:12" s="37" customFormat="1" ht="13.5" customHeight="1" hidden="1">
      <c r="A500" s="256"/>
      <c r="B500" s="49" t="s">
        <v>445</v>
      </c>
      <c r="C500" s="50">
        <v>6</v>
      </c>
      <c r="D500" s="41"/>
      <c r="E500" s="113" t="s">
        <v>38</v>
      </c>
      <c r="F500" s="52">
        <f>1.13*1.04</f>
        <v>1.1752</v>
      </c>
      <c r="G500" s="52" t="e">
        <f>E500*F500</f>
        <v>#VALUE!</v>
      </c>
      <c r="H500" s="45"/>
      <c r="I500" s="44">
        <v>47990</v>
      </c>
      <c r="J500" s="45">
        <f>I500-240</f>
        <v>47750</v>
      </c>
      <c r="K500" s="167"/>
      <c r="L500" s="201"/>
    </row>
    <row r="501" spans="1:13" s="192" customFormat="1" ht="13.5" customHeight="1">
      <c r="A501" s="257"/>
      <c r="B501" s="49" t="s">
        <v>445</v>
      </c>
      <c r="C501" s="50">
        <v>16</v>
      </c>
      <c r="D501" s="41"/>
      <c r="E501" s="113" t="s">
        <v>62</v>
      </c>
      <c r="F501" s="52">
        <f>1.13*1.05</f>
        <v>1.1864999999999999</v>
      </c>
      <c r="G501" s="52">
        <f>E501*F501</f>
        <v>7.119</v>
      </c>
      <c r="H501" s="45">
        <f>I501/(1000/G501)</f>
        <v>619.28181</v>
      </c>
      <c r="I501" s="44">
        <v>86990</v>
      </c>
      <c r="J501" s="45"/>
      <c r="K501" s="171"/>
      <c r="L501" s="47"/>
      <c r="M501" s="192">
        <v>285</v>
      </c>
    </row>
    <row r="502" spans="1:11" s="37" customFormat="1" ht="13.5" customHeight="1" hidden="1">
      <c r="A502" s="256"/>
      <c r="B502" s="49" t="s">
        <v>446</v>
      </c>
      <c r="C502" s="50">
        <v>7</v>
      </c>
      <c r="D502" s="41"/>
      <c r="E502" s="113" t="s">
        <v>38</v>
      </c>
      <c r="F502" s="52">
        <f>1.54*1.04</f>
        <v>1.6016000000000001</v>
      </c>
      <c r="G502" s="52"/>
      <c r="H502" s="45"/>
      <c r="I502" s="44">
        <v>70990</v>
      </c>
      <c r="J502" s="45">
        <f>I502-240</f>
        <v>70750</v>
      </c>
      <c r="K502" s="167"/>
    </row>
    <row r="503" spans="1:11" s="54" customFormat="1" ht="13.5" customHeight="1" hidden="1">
      <c r="A503" s="256"/>
      <c r="B503" s="49" t="s">
        <v>446</v>
      </c>
      <c r="C503" s="50">
        <v>3</v>
      </c>
      <c r="D503" s="41"/>
      <c r="E503" s="113" t="s">
        <v>444</v>
      </c>
      <c r="F503" s="52">
        <v>1.54</v>
      </c>
      <c r="G503" s="52">
        <f>E503*F503*1.04</f>
        <v>8.008000000000001</v>
      </c>
      <c r="H503" s="45">
        <f>I503/(1000/G503)</f>
        <v>568.48792</v>
      </c>
      <c r="I503" s="44">
        <v>70990</v>
      </c>
      <c r="J503" s="45">
        <f>I503-240</f>
        <v>70750</v>
      </c>
      <c r="K503" s="114"/>
    </row>
    <row r="504" spans="1:13" s="57" customFormat="1" ht="13.5" customHeight="1">
      <c r="A504" s="257"/>
      <c r="B504" s="49" t="s">
        <v>446</v>
      </c>
      <c r="C504" s="50">
        <v>19</v>
      </c>
      <c r="D504" s="41"/>
      <c r="E504" s="113" t="s">
        <v>62</v>
      </c>
      <c r="F504" s="52">
        <f>1.54*1.043</f>
        <v>1.60622</v>
      </c>
      <c r="G504" s="52">
        <f>E504*F504</f>
        <v>9.637319999999999</v>
      </c>
      <c r="H504" s="45">
        <f>I504/(1000/G504)</f>
        <v>819.0758268</v>
      </c>
      <c r="I504" s="44">
        <v>84990</v>
      </c>
      <c r="J504" s="45"/>
      <c r="K504" s="46"/>
      <c r="L504" s="47"/>
      <c r="M504" s="57">
        <v>285</v>
      </c>
    </row>
    <row r="505" spans="1:12" s="192" customFormat="1" ht="13.5" customHeight="1" hidden="1">
      <c r="A505" s="257"/>
      <c r="B505" s="49" t="s">
        <v>447</v>
      </c>
      <c r="C505" s="50">
        <v>8</v>
      </c>
      <c r="D505" s="41"/>
      <c r="E505" s="113" t="s">
        <v>38</v>
      </c>
      <c r="F505" s="52">
        <v>2.01</v>
      </c>
      <c r="G505" s="52"/>
      <c r="H505" s="45"/>
      <c r="I505" s="44">
        <v>83990</v>
      </c>
      <c r="J505" s="45">
        <f>I505-240</f>
        <v>83750</v>
      </c>
      <c r="K505" s="167"/>
      <c r="L505" s="47"/>
    </row>
    <row r="506" spans="1:12" s="57" customFormat="1" ht="13.5" customHeight="1" hidden="1">
      <c r="A506" s="257"/>
      <c r="B506" s="49" t="s">
        <v>447</v>
      </c>
      <c r="C506" s="50">
        <v>8</v>
      </c>
      <c r="D506" s="41"/>
      <c r="E506" s="113" t="s">
        <v>444</v>
      </c>
      <c r="F506" s="52">
        <v>2.01</v>
      </c>
      <c r="G506" s="52">
        <f>E506*F506*1.04</f>
        <v>10.452</v>
      </c>
      <c r="H506" s="45">
        <f>I506/(1000/G506)</f>
        <v>877.86348</v>
      </c>
      <c r="I506" s="44">
        <v>83990</v>
      </c>
      <c r="J506" s="45">
        <f>I506-240</f>
        <v>83750</v>
      </c>
      <c r="K506" s="282"/>
      <c r="L506" s="47"/>
    </row>
    <row r="507" spans="1:13" s="57" customFormat="1" ht="13.5" customHeight="1">
      <c r="A507" s="257"/>
      <c r="B507" s="49" t="s">
        <v>447</v>
      </c>
      <c r="C507" s="50">
        <v>21</v>
      </c>
      <c r="D507" s="41"/>
      <c r="E507" s="113" t="s">
        <v>62</v>
      </c>
      <c r="F507" s="52">
        <f>2.01*1.038</f>
        <v>2.0863799999999997</v>
      </c>
      <c r="G507" s="52">
        <f>E507*F507</f>
        <v>12.518279999999997</v>
      </c>
      <c r="H507" s="45">
        <f>I507/(1000/G507)</f>
        <v>1063.9286171999997</v>
      </c>
      <c r="I507" s="44">
        <v>84990</v>
      </c>
      <c r="J507" s="45"/>
      <c r="K507" s="46"/>
      <c r="L507" s="47"/>
      <c r="M507" s="57">
        <v>285</v>
      </c>
    </row>
    <row r="508" spans="1:13" s="57" customFormat="1" ht="13.5" customHeight="1">
      <c r="A508" s="257"/>
      <c r="B508" s="49" t="s">
        <v>448</v>
      </c>
      <c r="C508" s="50">
        <v>26</v>
      </c>
      <c r="D508" s="41"/>
      <c r="E508" s="113" t="s">
        <v>62</v>
      </c>
      <c r="F508" s="52">
        <f>3.14*1.04</f>
        <v>3.2656</v>
      </c>
      <c r="G508" s="52">
        <f>E508*F508</f>
        <v>19.593600000000002</v>
      </c>
      <c r="H508" s="44">
        <f>I508/(1000/G508)</f>
        <v>1665.2600640000003</v>
      </c>
      <c r="I508" s="44">
        <v>84990</v>
      </c>
      <c r="J508" s="44"/>
      <c r="K508" s="46"/>
      <c r="M508" s="57">
        <v>285</v>
      </c>
    </row>
    <row r="509" spans="1:11" s="54" customFormat="1" ht="13.5" customHeight="1" hidden="1">
      <c r="A509" s="256"/>
      <c r="B509" s="49" t="s">
        <v>449</v>
      </c>
      <c r="C509" s="50">
        <v>22</v>
      </c>
      <c r="D509" s="41"/>
      <c r="E509" s="113" t="s">
        <v>450</v>
      </c>
      <c r="F509" s="52">
        <f>4.91*1.04</f>
        <v>5.106400000000001</v>
      </c>
      <c r="G509" s="52">
        <f>E509*F509</f>
        <v>27.574560000000005</v>
      </c>
      <c r="H509" s="44">
        <f>I509/(1000/G509)</f>
        <v>826.9610544000002</v>
      </c>
      <c r="I509" s="45">
        <v>29990</v>
      </c>
      <c r="J509" s="44"/>
      <c r="K509" s="142"/>
    </row>
    <row r="510" spans="1:11" s="54" customFormat="1" ht="10.5" customHeight="1" hidden="1">
      <c r="A510" s="256"/>
      <c r="B510" s="118" t="s">
        <v>451</v>
      </c>
      <c r="C510" s="119">
        <v>22</v>
      </c>
      <c r="D510" s="127"/>
      <c r="E510" s="143" t="s">
        <v>444</v>
      </c>
      <c r="F510" s="128">
        <f>12.56*1.04</f>
        <v>13.0624</v>
      </c>
      <c r="G510" s="128">
        <f>E510*F510</f>
        <v>65.312</v>
      </c>
      <c r="H510" s="123">
        <f>I510/(1000/G510)</f>
        <v>1527.64768</v>
      </c>
      <c r="I510" s="209">
        <v>23390</v>
      </c>
      <c r="J510" s="123"/>
      <c r="K510" s="144"/>
    </row>
    <row r="511" spans="1:13" s="54" customFormat="1" ht="21" customHeight="1">
      <c r="A511" s="256"/>
      <c r="B511" s="31" t="s">
        <v>452</v>
      </c>
      <c r="C511" s="71"/>
      <c r="D511" s="34"/>
      <c r="E511" s="34"/>
      <c r="F511" s="34"/>
      <c r="G511" s="34"/>
      <c r="H511" s="34"/>
      <c r="I511" s="34"/>
      <c r="J511" s="34"/>
      <c r="K511" s="72"/>
      <c r="M511" s="54">
        <v>286</v>
      </c>
    </row>
    <row r="512" spans="1:11" s="54" customFormat="1" ht="13.5" customHeight="1" hidden="1">
      <c r="A512" s="256"/>
      <c r="B512" s="98" t="s">
        <v>453</v>
      </c>
      <c r="C512" s="92">
        <v>6</v>
      </c>
      <c r="D512" s="42">
        <v>45</v>
      </c>
      <c r="E512" s="113" t="s">
        <v>454</v>
      </c>
      <c r="F512" s="43">
        <f>0.68*1.04</f>
        <v>0.7072</v>
      </c>
      <c r="G512" s="52">
        <f>E512*F512</f>
        <v>2.4752</v>
      </c>
      <c r="H512" s="45">
        <f>I512/(1000/G512)</f>
        <v>148.487248</v>
      </c>
      <c r="I512" s="45">
        <v>59990</v>
      </c>
      <c r="J512" s="45"/>
      <c r="K512" s="171"/>
    </row>
    <row r="513" spans="1:11" s="54" customFormat="1" ht="13.5" customHeight="1" hidden="1">
      <c r="A513" s="256"/>
      <c r="B513" s="98" t="s">
        <v>455</v>
      </c>
      <c r="C513" s="92">
        <v>12</v>
      </c>
      <c r="D513" s="42">
        <v>20</v>
      </c>
      <c r="E513" s="113" t="s">
        <v>38</v>
      </c>
      <c r="F513" s="274">
        <f>0.979*1.025</f>
        <v>1.003475</v>
      </c>
      <c r="G513" s="52"/>
      <c r="H513" s="45"/>
      <c r="I513" s="45">
        <v>42990</v>
      </c>
      <c r="J513" s="45"/>
      <c r="K513" s="167"/>
    </row>
    <row r="514" spans="1:11" s="54" customFormat="1" ht="13.5" customHeight="1" hidden="1">
      <c r="A514" s="256"/>
      <c r="B514" s="98" t="s">
        <v>455</v>
      </c>
      <c r="C514" s="92">
        <v>12</v>
      </c>
      <c r="D514" s="42">
        <v>20</v>
      </c>
      <c r="E514" s="113" t="s">
        <v>38</v>
      </c>
      <c r="F514" s="274">
        <f>0.979*1.025</f>
        <v>1.003475</v>
      </c>
      <c r="G514" s="52" t="e">
        <f>E514*F514</f>
        <v>#VALUE!</v>
      </c>
      <c r="H514" s="45" t="e">
        <f>I514/(1000/G514)</f>
        <v>#VALUE!</v>
      </c>
      <c r="I514" s="45">
        <v>42990</v>
      </c>
      <c r="J514" s="45"/>
      <c r="K514" s="167"/>
    </row>
    <row r="515" spans="1:11" s="54" customFormat="1" ht="13.5" customHeight="1" hidden="1">
      <c r="A515" s="256"/>
      <c r="B515" s="98" t="s">
        <v>455</v>
      </c>
      <c r="C515" s="92">
        <v>12</v>
      </c>
      <c r="D515" s="42">
        <v>35</v>
      </c>
      <c r="E515" s="113" t="s">
        <v>38</v>
      </c>
      <c r="F515" s="274">
        <f>0.979*1.025</f>
        <v>1.003475</v>
      </c>
      <c r="G515" s="52" t="e">
        <f>E515*F515</f>
        <v>#VALUE!</v>
      </c>
      <c r="H515" s="45" t="e">
        <f>I515/(1000/G515)</f>
        <v>#VALUE!</v>
      </c>
      <c r="I515" s="45">
        <v>42990</v>
      </c>
      <c r="J515" s="45"/>
      <c r="K515" s="167"/>
    </row>
    <row r="516" spans="1:251" s="37" customFormat="1" ht="13.5" customHeight="1">
      <c r="A516" s="256"/>
      <c r="B516" s="49" t="s">
        <v>456</v>
      </c>
      <c r="C516" s="50">
        <v>18</v>
      </c>
      <c r="D516" s="41">
        <v>35</v>
      </c>
      <c r="E516" s="113" t="s">
        <v>38</v>
      </c>
      <c r="F516" s="52">
        <f>1.33*1.021</f>
        <v>1.3579299999999999</v>
      </c>
      <c r="G516" s="52"/>
      <c r="H516" s="45"/>
      <c r="I516" s="45">
        <v>99990</v>
      </c>
      <c r="J516" s="45"/>
      <c r="K516" s="167"/>
      <c r="M516" s="37">
        <v>286</v>
      </c>
      <c r="GL516" s="38"/>
      <c r="GM516" s="38"/>
      <c r="GN516" s="38"/>
      <c r="GO516" s="38"/>
      <c r="GP516" s="38"/>
      <c r="GQ516" s="38"/>
      <c r="GR516" s="38"/>
      <c r="GS516" s="38"/>
      <c r="GT516" s="38"/>
      <c r="GU516" s="38"/>
      <c r="GV516" s="38"/>
      <c r="GW516" s="38"/>
      <c r="GX516" s="38"/>
      <c r="GY516" s="38"/>
      <c r="GZ516" s="38"/>
      <c r="HA516" s="38"/>
      <c r="HB516" s="38"/>
      <c r="HC516" s="38"/>
      <c r="HD516" s="38"/>
      <c r="HE516" s="38"/>
      <c r="HF516" s="38"/>
      <c r="HG516" s="38"/>
      <c r="HH516" s="38"/>
      <c r="HI516" s="38"/>
      <c r="HJ516" s="38"/>
      <c r="HK516" s="38"/>
      <c r="HL516" s="38"/>
      <c r="HM516" s="38"/>
      <c r="HN516" s="38"/>
      <c r="HO516" s="38"/>
      <c r="HP516" s="38"/>
      <c r="HQ516" s="38"/>
      <c r="HR516" s="38"/>
      <c r="HS516" s="38"/>
      <c r="HT516" s="38"/>
      <c r="HU516" s="38"/>
      <c r="HV516" s="38"/>
      <c r="HW516" s="38"/>
      <c r="HX516" s="38"/>
      <c r="HY516" s="38"/>
      <c r="HZ516" s="38"/>
      <c r="IA516" s="38"/>
      <c r="IB516" s="38"/>
      <c r="IC516" s="38"/>
      <c r="ID516" s="38"/>
      <c r="IE516" s="38"/>
      <c r="IF516" s="38"/>
      <c r="IG516" s="38"/>
      <c r="IH516" s="38"/>
      <c r="II516" s="38"/>
      <c r="IJ516" s="38"/>
      <c r="IK516" s="38"/>
      <c r="IL516" s="38"/>
      <c r="IM516" s="38"/>
      <c r="IN516" s="38"/>
      <c r="IO516" s="38"/>
      <c r="IP516" s="38"/>
      <c r="IQ516" s="38"/>
    </row>
    <row r="517" spans="1:13" s="54" customFormat="1" ht="13.5" customHeight="1">
      <c r="A517" s="256"/>
      <c r="B517" s="49" t="s">
        <v>457</v>
      </c>
      <c r="C517" s="50">
        <v>23</v>
      </c>
      <c r="D517" s="41">
        <v>35</v>
      </c>
      <c r="E517" s="113" t="s">
        <v>38</v>
      </c>
      <c r="F517" s="52">
        <f>1.96*1.018</f>
        <v>1.99528</v>
      </c>
      <c r="G517" s="52"/>
      <c r="H517" s="45"/>
      <c r="I517" s="45">
        <v>99990</v>
      </c>
      <c r="J517" s="45"/>
      <c r="K517" s="167"/>
      <c r="M517" s="54">
        <v>286</v>
      </c>
    </row>
    <row r="518" spans="1:11" s="54" customFormat="1" ht="13.5" customHeight="1" hidden="1">
      <c r="A518" s="256"/>
      <c r="B518" s="49" t="s">
        <v>457</v>
      </c>
      <c r="C518" s="50">
        <v>13</v>
      </c>
      <c r="D518" s="41">
        <v>20</v>
      </c>
      <c r="E518" s="113" t="s">
        <v>38</v>
      </c>
      <c r="F518" s="52">
        <f>1.96*1.018</f>
        <v>1.99528</v>
      </c>
      <c r="G518" s="52" t="e">
        <f>E518*F518</f>
        <v>#VALUE!</v>
      </c>
      <c r="H518" s="45" t="e">
        <f>I518/(1000/G518)</f>
        <v>#VALUE!</v>
      </c>
      <c r="I518" s="45">
        <v>99990</v>
      </c>
      <c r="J518" s="45"/>
      <c r="K518" s="167"/>
    </row>
    <row r="519" spans="1:13" s="54" customFormat="1" ht="13.5" customHeight="1">
      <c r="A519" s="256"/>
      <c r="B519" s="49" t="s">
        <v>458</v>
      </c>
      <c r="C519" s="50">
        <v>25</v>
      </c>
      <c r="D519" s="41">
        <v>35</v>
      </c>
      <c r="E519" s="113" t="s">
        <v>38</v>
      </c>
      <c r="F519" s="52">
        <f>2.45*1.016</f>
        <v>2.4892000000000003</v>
      </c>
      <c r="G519" s="52"/>
      <c r="H519" s="45"/>
      <c r="I519" s="45">
        <v>99990</v>
      </c>
      <c r="J519" s="45"/>
      <c r="K519" s="167"/>
      <c r="M519" s="54">
        <v>286</v>
      </c>
    </row>
    <row r="520" spans="1:13" s="54" customFormat="1" ht="13.5" customHeight="1">
      <c r="A520" s="256"/>
      <c r="B520" s="49" t="s">
        <v>459</v>
      </c>
      <c r="C520" s="50">
        <v>30</v>
      </c>
      <c r="D520" s="41">
        <v>35</v>
      </c>
      <c r="E520" s="113" t="s">
        <v>38</v>
      </c>
      <c r="F520" s="52">
        <f>3.29*1.018</f>
        <v>3.3492200000000003</v>
      </c>
      <c r="G520" s="52"/>
      <c r="H520" s="45"/>
      <c r="I520" s="45">
        <v>99990</v>
      </c>
      <c r="J520" s="45"/>
      <c r="K520" s="167"/>
      <c r="M520" s="54">
        <v>286</v>
      </c>
    </row>
    <row r="521" spans="1:13" s="54" customFormat="1" ht="13.5" customHeight="1">
      <c r="A521" s="256"/>
      <c r="B521" s="49" t="s">
        <v>460</v>
      </c>
      <c r="C521" s="50">
        <v>32</v>
      </c>
      <c r="D521" s="41">
        <v>35</v>
      </c>
      <c r="E521" s="113" t="s">
        <v>38</v>
      </c>
      <c r="F521" s="52">
        <f>3.92*1.017</f>
        <v>3.9866399999999995</v>
      </c>
      <c r="G521" s="52"/>
      <c r="H521" s="45"/>
      <c r="I521" s="45">
        <v>99990</v>
      </c>
      <c r="J521" s="45"/>
      <c r="K521" s="167"/>
      <c r="M521" s="54">
        <v>286</v>
      </c>
    </row>
    <row r="522" spans="1:11" s="54" customFormat="1" ht="13.5" customHeight="1" hidden="1">
      <c r="A522" s="256"/>
      <c r="B522" s="49" t="s">
        <v>461</v>
      </c>
      <c r="C522" s="50">
        <v>22</v>
      </c>
      <c r="D522" s="41">
        <v>20</v>
      </c>
      <c r="E522" s="113" t="s">
        <v>462</v>
      </c>
      <c r="F522" s="52">
        <f>4.96*1.04</f>
        <v>5.1584</v>
      </c>
      <c r="G522" s="52">
        <f>E522*F522</f>
        <v>20.6336</v>
      </c>
      <c r="H522" s="44">
        <f>I522/(1000/G522)</f>
        <v>2063.1536640000004</v>
      </c>
      <c r="I522" s="45">
        <v>99990</v>
      </c>
      <c r="J522" s="44"/>
      <c r="K522" s="114"/>
    </row>
    <row r="523" spans="1:13" s="54" customFormat="1" ht="13.5" customHeight="1">
      <c r="A523" s="256"/>
      <c r="B523" s="49" t="s">
        <v>463</v>
      </c>
      <c r="C523" s="50">
        <v>36</v>
      </c>
      <c r="D523" s="41">
        <v>35</v>
      </c>
      <c r="E523" s="113" t="s">
        <v>38</v>
      </c>
      <c r="F523" s="52">
        <f>4.96*1.011</f>
        <v>5.0145599999999995</v>
      </c>
      <c r="G523" s="52"/>
      <c r="H523" s="45"/>
      <c r="I523" s="45">
        <v>99990</v>
      </c>
      <c r="J523" s="45"/>
      <c r="K523" s="167"/>
      <c r="M523" s="54">
        <v>286</v>
      </c>
    </row>
    <row r="524" spans="1:13" s="54" customFormat="1" ht="13.5" customHeight="1">
      <c r="A524" s="256"/>
      <c r="B524" s="49" t="s">
        <v>464</v>
      </c>
      <c r="C524" s="50">
        <v>40</v>
      </c>
      <c r="D524" s="41">
        <v>35</v>
      </c>
      <c r="E524" s="113" t="s">
        <v>38</v>
      </c>
      <c r="F524" s="52">
        <f>6.12*1.013</f>
        <v>6.199559999999999</v>
      </c>
      <c r="G524" s="52"/>
      <c r="H524" s="44"/>
      <c r="I524" s="45">
        <v>99990</v>
      </c>
      <c r="J524" s="44"/>
      <c r="K524" s="114"/>
      <c r="M524" s="54">
        <v>286</v>
      </c>
    </row>
    <row r="525" spans="1:13" s="54" customFormat="1" ht="13.5" customHeight="1">
      <c r="A525" s="256"/>
      <c r="B525" s="49" t="s">
        <v>465</v>
      </c>
      <c r="C525" s="50">
        <v>42</v>
      </c>
      <c r="D525" s="41">
        <v>35</v>
      </c>
      <c r="E525" s="113" t="s">
        <v>38</v>
      </c>
      <c r="F525" s="52">
        <f>6.96*1.013</f>
        <v>7.050479999999999</v>
      </c>
      <c r="G525" s="52"/>
      <c r="H525" s="44"/>
      <c r="I525" s="45">
        <v>89990</v>
      </c>
      <c r="J525" s="44"/>
      <c r="K525" s="114"/>
      <c r="M525" s="54">
        <v>286</v>
      </c>
    </row>
    <row r="526" spans="1:13" s="54" customFormat="1" ht="13.5" customHeight="1">
      <c r="A526" s="256"/>
      <c r="B526" s="49" t="s">
        <v>466</v>
      </c>
      <c r="C526" s="50">
        <v>47</v>
      </c>
      <c r="D526" s="41">
        <v>35</v>
      </c>
      <c r="E526" s="113" t="s">
        <v>38</v>
      </c>
      <c r="F526" s="52">
        <f>8.81*1.02</f>
        <v>8.9862</v>
      </c>
      <c r="G526" s="52"/>
      <c r="H526" s="44"/>
      <c r="I526" s="45">
        <v>89990</v>
      </c>
      <c r="J526" s="44"/>
      <c r="K526" s="114"/>
      <c r="M526" s="54">
        <v>286</v>
      </c>
    </row>
    <row r="527" spans="1:11" s="54" customFormat="1" ht="13.5" customHeight="1" hidden="1">
      <c r="A527" s="256"/>
      <c r="B527" s="49" t="s">
        <v>467</v>
      </c>
      <c r="C527" s="50">
        <v>41</v>
      </c>
      <c r="D527" s="41">
        <v>35</v>
      </c>
      <c r="E527" s="113" t="s">
        <v>38</v>
      </c>
      <c r="F527" s="52">
        <f>11.54*1.01</f>
        <v>11.655399999999998</v>
      </c>
      <c r="G527" s="41"/>
      <c r="H527" s="44"/>
      <c r="I527" s="45">
        <f>51990</f>
        <v>51990</v>
      </c>
      <c r="J527" s="44"/>
      <c r="K527" s="114"/>
    </row>
    <row r="528" spans="1:11" s="54" customFormat="1" ht="13.5" customHeight="1" hidden="1">
      <c r="A528" s="256"/>
      <c r="B528" s="49" t="s">
        <v>468</v>
      </c>
      <c r="C528" s="50">
        <v>46</v>
      </c>
      <c r="D528" s="41">
        <v>35</v>
      </c>
      <c r="E528" s="113" t="s">
        <v>38</v>
      </c>
      <c r="F528" s="52">
        <f>14.53*1.01</f>
        <v>14.6753</v>
      </c>
      <c r="G528" s="52"/>
      <c r="H528" s="44"/>
      <c r="I528" s="44">
        <v>44990</v>
      </c>
      <c r="J528" s="44"/>
      <c r="K528" s="114"/>
    </row>
    <row r="529" spans="1:13" s="54" customFormat="1" ht="21" customHeight="1">
      <c r="A529" s="256"/>
      <c r="B529" s="31" t="s">
        <v>469</v>
      </c>
      <c r="C529" s="71"/>
      <c r="D529" s="34"/>
      <c r="E529" s="34"/>
      <c r="F529" s="34"/>
      <c r="G529" s="34"/>
      <c r="H529" s="34"/>
      <c r="I529" s="34"/>
      <c r="J529" s="34"/>
      <c r="K529" s="72"/>
      <c r="M529" s="54">
        <v>287</v>
      </c>
    </row>
    <row r="530" spans="1:11" s="37" customFormat="1" ht="13.5" customHeight="1" hidden="1">
      <c r="A530" s="256"/>
      <c r="B530" s="98" t="s">
        <v>470</v>
      </c>
      <c r="C530" s="92">
        <v>7</v>
      </c>
      <c r="D530" s="41" t="s">
        <v>66</v>
      </c>
      <c r="E530" s="211" t="s">
        <v>62</v>
      </c>
      <c r="F530" s="43">
        <v>0.63</v>
      </c>
      <c r="G530" s="43">
        <v>4</v>
      </c>
      <c r="H530" s="45">
        <f aca="true" t="shared" si="32" ref="H530:H541">I530/(1000/G530)</f>
        <v>199.96</v>
      </c>
      <c r="I530" s="45">
        <v>49990</v>
      </c>
      <c r="J530" s="45"/>
      <c r="K530" s="167"/>
    </row>
    <row r="531" spans="1:13" s="37" customFormat="1" ht="13.5" customHeight="1">
      <c r="A531" s="256"/>
      <c r="B531" s="98" t="s">
        <v>471</v>
      </c>
      <c r="C531" s="92">
        <v>20</v>
      </c>
      <c r="D531" s="41" t="s">
        <v>66</v>
      </c>
      <c r="E531" s="113" t="s">
        <v>62</v>
      </c>
      <c r="F531" s="43">
        <f>0.785*1.078</f>
        <v>0.84623</v>
      </c>
      <c r="G531" s="52">
        <f aca="true" t="shared" si="33" ref="G531:G541">E531*F531</f>
        <v>5.07738</v>
      </c>
      <c r="H531" s="44">
        <f t="shared" si="32"/>
        <v>436.6039062</v>
      </c>
      <c r="I531" s="45">
        <v>85990</v>
      </c>
      <c r="J531" s="45"/>
      <c r="K531" s="171"/>
      <c r="L531" s="283"/>
      <c r="M531" s="37">
        <v>287</v>
      </c>
    </row>
    <row r="532" spans="1:11" s="37" customFormat="1" ht="13.5" customHeight="1" hidden="1">
      <c r="A532" s="256"/>
      <c r="B532" s="98" t="s">
        <v>472</v>
      </c>
      <c r="C532" s="92"/>
      <c r="D532" s="41" t="s">
        <v>66</v>
      </c>
      <c r="E532" s="113" t="s">
        <v>38</v>
      </c>
      <c r="F532" s="43">
        <f>0.98*1.04</f>
        <v>1.0192</v>
      </c>
      <c r="G532" s="52" t="e">
        <f t="shared" si="33"/>
        <v>#VALUE!</v>
      </c>
      <c r="H532" s="44" t="e">
        <f t="shared" si="32"/>
        <v>#VALUE!</v>
      </c>
      <c r="I532" s="45">
        <v>45490</v>
      </c>
      <c r="J532" s="45">
        <f>I532-260</f>
        <v>45230</v>
      </c>
      <c r="K532" s="171"/>
    </row>
    <row r="533" spans="1:11" s="54" customFormat="1" ht="13.5" customHeight="1" hidden="1">
      <c r="A533" s="256"/>
      <c r="B533" s="49" t="s">
        <v>473</v>
      </c>
      <c r="C533" s="50">
        <v>12</v>
      </c>
      <c r="D533" s="41" t="s">
        <v>66</v>
      </c>
      <c r="E533" s="113" t="s">
        <v>62</v>
      </c>
      <c r="F533" s="52">
        <f>0.94*1.078</f>
        <v>1.0133200000000002</v>
      </c>
      <c r="G533" s="52">
        <f t="shared" si="33"/>
        <v>6.079920000000001</v>
      </c>
      <c r="H533" s="44">
        <f t="shared" si="32"/>
        <v>276.57556080000006</v>
      </c>
      <c r="I533" s="45">
        <v>45490</v>
      </c>
      <c r="J533" s="45"/>
      <c r="K533" s="171"/>
    </row>
    <row r="534" spans="1:13" s="54" customFormat="1" ht="13.5" customHeight="1">
      <c r="A534" s="256"/>
      <c r="B534" s="49" t="s">
        <v>474</v>
      </c>
      <c r="C534" s="50">
        <v>26</v>
      </c>
      <c r="D534" s="41" t="s">
        <v>66</v>
      </c>
      <c r="E534" s="113" t="s">
        <v>62</v>
      </c>
      <c r="F534" s="52">
        <f>1.26*1.075</f>
        <v>1.3545</v>
      </c>
      <c r="G534" s="52">
        <f t="shared" si="33"/>
        <v>8.127</v>
      </c>
      <c r="H534" s="44">
        <f t="shared" si="32"/>
        <v>682.5867300000001</v>
      </c>
      <c r="I534" s="250">
        <v>83990</v>
      </c>
      <c r="J534" s="45"/>
      <c r="K534" s="171" t="s">
        <v>69</v>
      </c>
      <c r="L534" s="53"/>
      <c r="M534" s="54">
        <v>287</v>
      </c>
    </row>
    <row r="535" spans="1:11" s="54" customFormat="1" ht="13.5" customHeight="1" hidden="1">
      <c r="A535" s="256"/>
      <c r="B535" s="49" t="s">
        <v>474</v>
      </c>
      <c r="C535" s="50">
        <v>15</v>
      </c>
      <c r="D535" s="41" t="s">
        <v>66</v>
      </c>
      <c r="E535" s="113" t="s">
        <v>62</v>
      </c>
      <c r="F535" s="52">
        <f>1.26*1.075</f>
        <v>1.3545</v>
      </c>
      <c r="G535" s="52">
        <f t="shared" si="33"/>
        <v>8.127</v>
      </c>
      <c r="H535" s="44">
        <f t="shared" si="32"/>
        <v>796.3647300000001</v>
      </c>
      <c r="I535" s="45">
        <v>97990</v>
      </c>
      <c r="J535" s="45">
        <f>I535-260</f>
        <v>97730</v>
      </c>
      <c r="K535" s="171"/>
    </row>
    <row r="536" spans="1:11" s="54" customFormat="1" ht="13.5" customHeight="1" hidden="1">
      <c r="A536" s="256"/>
      <c r="B536" s="49" t="s">
        <v>475</v>
      </c>
      <c r="C536" s="50">
        <v>8</v>
      </c>
      <c r="D536" s="41" t="s">
        <v>66</v>
      </c>
      <c r="E536" s="113" t="s">
        <v>62</v>
      </c>
      <c r="F536" s="52">
        <f>1.88*1.05</f>
        <v>1.974</v>
      </c>
      <c r="G536" s="52">
        <f t="shared" si="33"/>
        <v>11.844</v>
      </c>
      <c r="H536" s="44">
        <f t="shared" si="32"/>
        <v>1160.59356</v>
      </c>
      <c r="I536" s="45">
        <v>97990</v>
      </c>
      <c r="J536" s="45">
        <f>I536-260</f>
        <v>97730</v>
      </c>
      <c r="K536" s="171"/>
    </row>
    <row r="537" spans="1:11" s="54" customFormat="1" ht="13.5" customHeight="1" hidden="1">
      <c r="A537" s="256"/>
      <c r="B537" s="49" t="s">
        <v>476</v>
      </c>
      <c r="C537" s="50">
        <v>10</v>
      </c>
      <c r="D537" s="41" t="s">
        <v>66</v>
      </c>
      <c r="E537" s="113" t="s">
        <v>62</v>
      </c>
      <c r="F537" s="52">
        <v>1.57</v>
      </c>
      <c r="G537" s="52">
        <f t="shared" si="33"/>
        <v>9.42</v>
      </c>
      <c r="H537" s="44">
        <f t="shared" si="32"/>
        <v>923.0658</v>
      </c>
      <c r="I537" s="45">
        <v>97990</v>
      </c>
      <c r="J537" s="45">
        <f>I537-260</f>
        <v>97730</v>
      </c>
      <c r="K537" s="171"/>
    </row>
    <row r="538" spans="1:13" s="54" customFormat="1" ht="13.5" customHeight="1">
      <c r="A538" s="256"/>
      <c r="B538" s="49" t="s">
        <v>477</v>
      </c>
      <c r="C538" s="50">
        <v>33</v>
      </c>
      <c r="D538" s="41" t="s">
        <v>66</v>
      </c>
      <c r="E538" s="113" t="s">
        <v>62</v>
      </c>
      <c r="F538" s="52">
        <f>1.963*1.06</f>
        <v>2.0807800000000003</v>
      </c>
      <c r="G538" s="52">
        <f t="shared" si="33"/>
        <v>12.48468</v>
      </c>
      <c r="H538" s="44">
        <f t="shared" si="32"/>
        <v>1017.3765732</v>
      </c>
      <c r="I538" s="45">
        <v>81490</v>
      </c>
      <c r="J538" s="44"/>
      <c r="K538" s="46"/>
      <c r="L538" s="53"/>
      <c r="M538" s="54">
        <v>287</v>
      </c>
    </row>
    <row r="539" spans="1:11" s="54" customFormat="1" ht="13.5" customHeight="1" hidden="1">
      <c r="A539" s="256"/>
      <c r="B539" s="49" t="s">
        <v>478</v>
      </c>
      <c r="C539" s="50">
        <v>12</v>
      </c>
      <c r="D539" s="41" t="s">
        <v>66</v>
      </c>
      <c r="E539" s="113" t="s">
        <v>479</v>
      </c>
      <c r="F539" s="52">
        <f>2.36*1.04</f>
        <v>2.4544</v>
      </c>
      <c r="G539" s="52">
        <f t="shared" si="33"/>
        <v>17.1808</v>
      </c>
      <c r="H539" s="44">
        <f t="shared" si="32"/>
        <v>609.746592</v>
      </c>
      <c r="I539" s="45">
        <v>35490</v>
      </c>
      <c r="J539" s="44"/>
      <c r="K539" s="114"/>
    </row>
    <row r="540" spans="1:11" s="54" customFormat="1" ht="13.5" customHeight="1" hidden="1">
      <c r="A540" s="256"/>
      <c r="B540" s="49" t="s">
        <v>480</v>
      </c>
      <c r="C540" s="50">
        <v>20</v>
      </c>
      <c r="D540" s="41" t="s">
        <v>66</v>
      </c>
      <c r="E540" s="113" t="s">
        <v>62</v>
      </c>
      <c r="F540" s="52">
        <f>2.36*1.06</f>
        <v>2.5016</v>
      </c>
      <c r="G540" s="52">
        <f t="shared" si="33"/>
        <v>15.009599999999999</v>
      </c>
      <c r="H540" s="44">
        <f t="shared" si="32"/>
        <v>532.690704</v>
      </c>
      <c r="I540" s="45">
        <v>35490</v>
      </c>
      <c r="J540" s="44"/>
      <c r="K540" s="114"/>
    </row>
    <row r="541" spans="1:11" s="54" customFormat="1" ht="13.5" customHeight="1" hidden="1">
      <c r="A541" s="256"/>
      <c r="B541" s="49" t="s">
        <v>481</v>
      </c>
      <c r="C541" s="50">
        <v>20</v>
      </c>
      <c r="D541" s="41" t="s">
        <v>66</v>
      </c>
      <c r="E541" s="113" t="s">
        <v>62</v>
      </c>
      <c r="F541" s="52">
        <f>3.768*1.031</f>
        <v>3.8848079999999996</v>
      </c>
      <c r="G541" s="52">
        <f t="shared" si="33"/>
        <v>23.308847999999998</v>
      </c>
      <c r="H541" s="44">
        <f t="shared" si="32"/>
        <v>827.2310155199999</v>
      </c>
      <c r="I541" s="45">
        <v>35490</v>
      </c>
      <c r="J541" s="44"/>
      <c r="K541" s="114"/>
    </row>
    <row r="542" spans="1:11" s="54" customFormat="1" ht="13.5" customHeight="1" hidden="1">
      <c r="A542" s="256"/>
      <c r="B542" s="49" t="s">
        <v>482</v>
      </c>
      <c r="C542" s="50">
        <v>20</v>
      </c>
      <c r="D542" s="41" t="s">
        <v>66</v>
      </c>
      <c r="E542" s="113" t="s">
        <v>38</v>
      </c>
      <c r="F542" s="52">
        <f>5.024*1.04</f>
        <v>5.22496</v>
      </c>
      <c r="G542" s="52"/>
      <c r="H542" s="44"/>
      <c r="I542" s="45">
        <v>35490</v>
      </c>
      <c r="J542" s="44"/>
      <c r="K542" s="114"/>
    </row>
    <row r="543" spans="1:11" s="54" customFormat="1" ht="13.5" customHeight="1" hidden="1">
      <c r="A543" s="256"/>
      <c r="B543" s="118" t="s">
        <v>483</v>
      </c>
      <c r="C543" s="119">
        <v>30</v>
      </c>
      <c r="D543" s="127" t="s">
        <v>66</v>
      </c>
      <c r="E543" s="143" t="s">
        <v>62</v>
      </c>
      <c r="F543" s="128">
        <f>6.28*1.04</f>
        <v>6.5312</v>
      </c>
      <c r="G543" s="128">
        <f>E543*F543</f>
        <v>39.187200000000004</v>
      </c>
      <c r="H543" s="123">
        <f>I543/(1000/G543)</f>
        <v>1390.7537280000001</v>
      </c>
      <c r="I543" s="45">
        <v>35490</v>
      </c>
      <c r="J543" s="209"/>
      <c r="K543" s="131"/>
    </row>
    <row r="544" spans="1:13" s="54" customFormat="1" ht="21" customHeight="1">
      <c r="A544" s="256"/>
      <c r="B544" s="284" t="s">
        <v>484</v>
      </c>
      <c r="C544" s="285"/>
      <c r="D544" s="286"/>
      <c r="E544" s="286"/>
      <c r="F544" s="286"/>
      <c r="G544" s="286"/>
      <c r="H544" s="286"/>
      <c r="I544" s="286"/>
      <c r="J544" s="286"/>
      <c r="K544" s="287"/>
      <c r="M544" s="54">
        <v>288</v>
      </c>
    </row>
    <row r="545" spans="1:11" s="279" customFormat="1" ht="13.5" customHeight="1" hidden="1">
      <c r="A545" s="256"/>
      <c r="B545" s="135" t="s">
        <v>485</v>
      </c>
      <c r="C545" s="50"/>
      <c r="D545" s="41"/>
      <c r="E545" s="166" t="s">
        <v>486</v>
      </c>
      <c r="F545" s="52">
        <v>2.08</v>
      </c>
      <c r="G545" s="52">
        <v>2.08</v>
      </c>
      <c r="H545" s="44">
        <f aca="true" t="shared" si="34" ref="H545:H558">I545/(1000/G545)</f>
        <v>129.9792</v>
      </c>
      <c r="I545" s="44">
        <v>62490</v>
      </c>
      <c r="J545" s="45"/>
      <c r="K545" s="46"/>
    </row>
    <row r="546" spans="1:11" s="279" customFormat="1" ht="13.5" customHeight="1" hidden="1">
      <c r="A546" s="256"/>
      <c r="B546" s="135" t="s">
        <v>485</v>
      </c>
      <c r="C546" s="50"/>
      <c r="D546" s="41"/>
      <c r="E546" s="166" t="s">
        <v>181</v>
      </c>
      <c r="F546" s="52">
        <v>2.08</v>
      </c>
      <c r="G546" s="52">
        <v>4.16</v>
      </c>
      <c r="H546" s="44">
        <f t="shared" si="34"/>
        <v>149.7184</v>
      </c>
      <c r="I546" s="44">
        <v>35990</v>
      </c>
      <c r="J546" s="45"/>
      <c r="K546" s="114"/>
    </row>
    <row r="547" spans="1:11" s="279" customFormat="1" ht="13.5" customHeight="1" hidden="1">
      <c r="A547" s="256"/>
      <c r="B547" s="135" t="s">
        <v>487</v>
      </c>
      <c r="C547" s="50"/>
      <c r="D547" s="41"/>
      <c r="E547" s="166" t="s">
        <v>488</v>
      </c>
      <c r="F547" s="52">
        <v>3.68</v>
      </c>
      <c r="G547" s="52">
        <v>2.8</v>
      </c>
      <c r="H547" s="44">
        <f t="shared" si="34"/>
        <v>97.972</v>
      </c>
      <c r="I547" s="44">
        <v>34990</v>
      </c>
      <c r="J547" s="45"/>
      <c r="K547" s="46"/>
    </row>
    <row r="548" spans="1:13" s="279" customFormat="1" ht="13.5" customHeight="1">
      <c r="A548" s="256"/>
      <c r="B548" s="135" t="s">
        <v>487</v>
      </c>
      <c r="C548" s="50"/>
      <c r="D548" s="41"/>
      <c r="E548" s="166" t="s">
        <v>486</v>
      </c>
      <c r="F548" s="52">
        <v>3.68</v>
      </c>
      <c r="G548" s="52">
        <v>3.68</v>
      </c>
      <c r="H548" s="44">
        <f t="shared" si="34"/>
        <v>257.5632</v>
      </c>
      <c r="I548" s="44">
        <v>69990</v>
      </c>
      <c r="J548" s="45"/>
      <c r="K548" s="46"/>
      <c r="M548" s="279">
        <v>288</v>
      </c>
    </row>
    <row r="549" spans="1:11" s="279" customFormat="1" ht="13.5" customHeight="1" hidden="1">
      <c r="A549" s="256"/>
      <c r="B549" s="135" t="s">
        <v>487</v>
      </c>
      <c r="C549" s="50"/>
      <c r="D549" s="41"/>
      <c r="E549" s="166" t="s">
        <v>181</v>
      </c>
      <c r="F549" s="52">
        <v>3.68</v>
      </c>
      <c r="G549" s="52">
        <v>7.36</v>
      </c>
      <c r="H549" s="44">
        <f t="shared" si="34"/>
        <v>0</v>
      </c>
      <c r="I549" s="44"/>
      <c r="J549" s="45"/>
      <c r="K549" s="46"/>
    </row>
    <row r="550" spans="1:11" s="279" customFormat="1" ht="13.5" customHeight="1" hidden="1">
      <c r="A550" s="256"/>
      <c r="B550" s="135" t="s">
        <v>487</v>
      </c>
      <c r="C550" s="50"/>
      <c r="D550" s="41"/>
      <c r="E550" s="166" t="s">
        <v>489</v>
      </c>
      <c r="F550" s="52">
        <v>3.68</v>
      </c>
      <c r="G550" s="52">
        <v>11.04</v>
      </c>
      <c r="H550" s="44">
        <f t="shared" si="34"/>
        <v>0</v>
      </c>
      <c r="I550" s="44"/>
      <c r="J550" s="45"/>
      <c r="K550" s="46"/>
    </row>
    <row r="551" spans="1:11" s="279" customFormat="1" ht="13.5" customHeight="1" hidden="1">
      <c r="A551" s="256"/>
      <c r="B551" s="135" t="s">
        <v>490</v>
      </c>
      <c r="C551" s="50"/>
      <c r="D551" s="41"/>
      <c r="E551" s="166" t="s">
        <v>181</v>
      </c>
      <c r="F551" s="52">
        <v>1.84</v>
      </c>
      <c r="G551" s="52">
        <v>3.68</v>
      </c>
      <c r="H551" s="44">
        <f t="shared" si="34"/>
        <v>0</v>
      </c>
      <c r="I551" s="44"/>
      <c r="J551" s="45"/>
      <c r="K551" s="46"/>
    </row>
    <row r="552" spans="1:11" s="279" customFormat="1" ht="13.5" customHeight="1" hidden="1">
      <c r="A552" s="256"/>
      <c r="B552" s="135" t="s">
        <v>490</v>
      </c>
      <c r="C552" s="50"/>
      <c r="D552" s="41"/>
      <c r="E552" s="166" t="s">
        <v>491</v>
      </c>
      <c r="F552" s="52">
        <v>1.84</v>
      </c>
      <c r="G552" s="52">
        <v>9.9</v>
      </c>
      <c r="H552" s="44">
        <f t="shared" si="34"/>
        <v>0</v>
      </c>
      <c r="I552" s="44"/>
      <c r="J552" s="45"/>
      <c r="K552" s="46"/>
    </row>
    <row r="553" spans="1:13" s="279" customFormat="1" ht="13.5" customHeight="1">
      <c r="A553" s="256"/>
      <c r="B553" s="135" t="s">
        <v>490</v>
      </c>
      <c r="C553" s="50"/>
      <c r="D553" s="41"/>
      <c r="E553" s="166" t="s">
        <v>492</v>
      </c>
      <c r="F553" s="52">
        <v>1.84</v>
      </c>
      <c r="G553" s="52">
        <v>11.04</v>
      </c>
      <c r="H553" s="44">
        <f t="shared" si="34"/>
        <v>816.8495999999999</v>
      </c>
      <c r="I553" s="44">
        <v>73990</v>
      </c>
      <c r="J553" s="45"/>
      <c r="K553" s="46"/>
      <c r="L553" s="288"/>
      <c r="M553" s="279">
        <v>288</v>
      </c>
    </row>
    <row r="554" spans="1:11" s="279" customFormat="1" ht="13.5" customHeight="1" hidden="1">
      <c r="A554" s="256"/>
      <c r="B554" s="135" t="s">
        <v>493</v>
      </c>
      <c r="C554" s="50"/>
      <c r="D554" s="41"/>
      <c r="E554" s="166" t="s">
        <v>492</v>
      </c>
      <c r="F554" s="52">
        <v>3</v>
      </c>
      <c r="G554" s="52">
        <v>18</v>
      </c>
      <c r="H554" s="44">
        <f t="shared" si="34"/>
        <v>611.8199999999999</v>
      </c>
      <c r="I554" s="44">
        <v>33990</v>
      </c>
      <c r="J554" s="44"/>
      <c r="K554" s="114"/>
    </row>
    <row r="555" spans="1:11" s="279" customFormat="1" ht="13.5" customHeight="1" hidden="1">
      <c r="A555" s="256"/>
      <c r="B555" s="135" t="s">
        <v>494</v>
      </c>
      <c r="C555" s="50"/>
      <c r="D555" s="41"/>
      <c r="E555" s="166" t="s">
        <v>492</v>
      </c>
      <c r="F555" s="52">
        <v>1.26</v>
      </c>
      <c r="G555" s="52">
        <v>7.56</v>
      </c>
      <c r="H555" s="44">
        <f t="shared" si="34"/>
        <v>256.9644</v>
      </c>
      <c r="I555" s="44">
        <v>33990</v>
      </c>
      <c r="J555" s="44"/>
      <c r="K555" s="114"/>
    </row>
    <row r="556" spans="1:11" s="279" customFormat="1" ht="13.5" customHeight="1" hidden="1">
      <c r="A556" s="256"/>
      <c r="B556" s="135" t="s">
        <v>495</v>
      </c>
      <c r="C556" s="50"/>
      <c r="D556" s="41"/>
      <c r="E556" s="166" t="s">
        <v>492</v>
      </c>
      <c r="F556" s="52"/>
      <c r="G556" s="52">
        <v>11.45</v>
      </c>
      <c r="H556" s="44">
        <f t="shared" si="34"/>
        <v>389.1855</v>
      </c>
      <c r="I556" s="44">
        <v>33990</v>
      </c>
      <c r="J556" s="44"/>
      <c r="K556" s="114"/>
    </row>
    <row r="557" spans="1:11" s="279" customFormat="1" ht="13.5" customHeight="1" hidden="1">
      <c r="A557" s="256"/>
      <c r="B557" s="135" t="s">
        <v>496</v>
      </c>
      <c r="C557" s="50"/>
      <c r="D557" s="41"/>
      <c r="E557" s="166" t="s">
        <v>492</v>
      </c>
      <c r="F557" s="52"/>
      <c r="G557" s="52"/>
      <c r="H557" s="44" t="e">
        <f t="shared" si="34"/>
        <v>#DIV/0!</v>
      </c>
      <c r="I557" s="44">
        <v>33990</v>
      </c>
      <c r="J557" s="44"/>
      <c r="K557" s="114"/>
    </row>
    <row r="558" spans="1:11" s="279" customFormat="1" ht="13.5" customHeight="1" hidden="1">
      <c r="A558" s="256"/>
      <c r="B558" s="135" t="s">
        <v>497</v>
      </c>
      <c r="C558" s="50"/>
      <c r="D558" s="41"/>
      <c r="E558" s="166" t="s">
        <v>498</v>
      </c>
      <c r="F558" s="52"/>
      <c r="G558" s="52">
        <v>30</v>
      </c>
      <c r="H558" s="44">
        <f t="shared" si="34"/>
        <v>1019.6999999999999</v>
      </c>
      <c r="I558" s="44">
        <v>33990</v>
      </c>
      <c r="J558" s="44"/>
      <c r="K558" s="46"/>
    </row>
    <row r="559" spans="1:13" s="54" customFormat="1" ht="21" customHeight="1">
      <c r="A559" s="256"/>
      <c r="B559" s="31" t="s">
        <v>499</v>
      </c>
      <c r="C559" s="71"/>
      <c r="D559" s="34"/>
      <c r="E559" s="34"/>
      <c r="F559" s="34"/>
      <c r="G559" s="34"/>
      <c r="H559" s="34"/>
      <c r="I559" s="34"/>
      <c r="J559" s="34"/>
      <c r="K559" s="72"/>
      <c r="M559" s="54">
        <v>289</v>
      </c>
    </row>
    <row r="560" spans="1:13" s="54" customFormat="1" ht="13.5" customHeight="1">
      <c r="A560" s="256"/>
      <c r="B560" s="49" t="s">
        <v>500</v>
      </c>
      <c r="C560" s="50"/>
      <c r="D560" s="41"/>
      <c r="E560" s="113" t="s">
        <v>387</v>
      </c>
      <c r="F560" s="44"/>
      <c r="G560" s="182"/>
      <c r="H560" s="44"/>
      <c r="I560" s="45">
        <v>94990</v>
      </c>
      <c r="J560" s="45"/>
      <c r="K560" s="114" t="s">
        <v>501</v>
      </c>
      <c r="L560" s="53"/>
      <c r="M560" s="54">
        <v>289</v>
      </c>
    </row>
    <row r="561" spans="1:13" s="54" customFormat="1" ht="13.5" customHeight="1">
      <c r="A561" s="256"/>
      <c r="B561" s="49" t="s">
        <v>502</v>
      </c>
      <c r="C561" s="50"/>
      <c r="D561" s="69" t="s">
        <v>503</v>
      </c>
      <c r="E561" s="113" t="s">
        <v>387</v>
      </c>
      <c r="F561" s="44"/>
      <c r="G561" s="182"/>
      <c r="H561" s="44"/>
      <c r="I561" s="45">
        <v>79990</v>
      </c>
      <c r="J561" s="45"/>
      <c r="K561" s="114"/>
      <c r="M561" s="54">
        <v>289</v>
      </c>
    </row>
    <row r="562" spans="1:11" s="54" customFormat="1" ht="13.5" customHeight="1" hidden="1">
      <c r="A562" s="256"/>
      <c r="B562" s="49" t="s">
        <v>504</v>
      </c>
      <c r="C562" s="50"/>
      <c r="D562" s="41"/>
      <c r="E562" s="113" t="s">
        <v>62</v>
      </c>
      <c r="F562" s="52">
        <f>0.056*1.04</f>
        <v>0.05824</v>
      </c>
      <c r="G562" s="52">
        <f>E562*F562</f>
        <v>0.34944</v>
      </c>
      <c r="H562" s="44">
        <f>I562/(1000/G562)</f>
        <v>8.732505599999998</v>
      </c>
      <c r="I562" s="45">
        <v>24990</v>
      </c>
      <c r="J562" s="45"/>
      <c r="K562" s="114"/>
    </row>
    <row r="563" spans="1:11" s="54" customFormat="1" ht="13.5" customHeight="1" hidden="1">
      <c r="A563" s="256"/>
      <c r="B563" s="49" t="s">
        <v>505</v>
      </c>
      <c r="C563" s="50"/>
      <c r="D563" s="41"/>
      <c r="E563" s="113" t="s">
        <v>62</v>
      </c>
      <c r="F563" s="52">
        <f>0.099*1.04</f>
        <v>0.10296000000000001</v>
      </c>
      <c r="G563" s="52">
        <f>E563*F563</f>
        <v>0.6177600000000001</v>
      </c>
      <c r="H563" s="44">
        <f>I563/(1000/G563)</f>
        <v>15.437822400000002</v>
      </c>
      <c r="I563" s="45">
        <v>24990</v>
      </c>
      <c r="J563" s="45"/>
      <c r="K563" s="114"/>
    </row>
    <row r="564" spans="1:11" s="293" customFormat="1" ht="9" customHeight="1">
      <c r="A564" s="289"/>
      <c r="B564" s="290"/>
      <c r="C564" s="291"/>
      <c r="D564" s="290"/>
      <c r="E564" s="290"/>
      <c r="F564" s="290"/>
      <c r="G564" s="290"/>
      <c r="H564" s="290"/>
      <c r="I564" s="290"/>
      <c r="J564" s="290"/>
      <c r="K564" s="292"/>
    </row>
    <row r="565" spans="1:11" s="294" customFormat="1" ht="14.25" customHeight="1">
      <c r="A565" s="307" t="s">
        <v>506</v>
      </c>
      <c r="B565" s="307"/>
      <c r="C565" s="307"/>
      <c r="D565" s="307"/>
      <c r="E565" s="307"/>
      <c r="F565" s="307"/>
      <c r="G565" s="307"/>
      <c r="H565" s="307"/>
      <c r="I565" s="307"/>
      <c r="J565" s="307"/>
      <c r="K565" s="307"/>
    </row>
    <row r="566" ht="9.75" customHeight="1">
      <c r="A566" s="289"/>
    </row>
    <row r="567" spans="1:11" ht="14.25" customHeight="1">
      <c r="A567" s="289"/>
      <c r="B567" s="308" t="s">
        <v>507</v>
      </c>
      <c r="C567" s="308"/>
      <c r="D567" s="308"/>
      <c r="E567" s="308"/>
      <c r="F567" s="308"/>
      <c r="G567" s="308"/>
      <c r="H567" s="308"/>
      <c r="I567" s="308"/>
      <c r="J567" s="308"/>
      <c r="K567" s="294"/>
    </row>
    <row r="568" spans="1:10" ht="14.25" customHeight="1">
      <c r="A568" s="289"/>
      <c r="B568" s="308" t="s">
        <v>508</v>
      </c>
      <c r="C568" s="308"/>
      <c r="D568" s="308"/>
      <c r="E568" s="308"/>
      <c r="F568" s="308"/>
      <c r="G568" s="308"/>
      <c r="H568" s="308"/>
      <c r="I568" s="308"/>
      <c r="J568" s="308"/>
    </row>
    <row r="569" spans="1:11" ht="14.25" customHeight="1">
      <c r="A569" s="309" t="s">
        <v>509</v>
      </c>
      <c r="B569" s="309"/>
      <c r="C569" s="309"/>
      <c r="D569" s="309"/>
      <c r="E569" s="309"/>
      <c r="F569" s="309"/>
      <c r="G569" s="309"/>
      <c r="H569" s="309"/>
      <c r="I569" s="309"/>
      <c r="J569" s="309"/>
      <c r="K569" s="309"/>
    </row>
    <row r="570" spans="1:11" ht="14.25" customHeight="1">
      <c r="A570" s="310" t="s">
        <v>510</v>
      </c>
      <c r="B570" s="310"/>
      <c r="C570" s="310"/>
      <c r="D570" s="310"/>
      <c r="E570" s="310"/>
      <c r="F570" s="310"/>
      <c r="G570" s="310"/>
      <c r="H570" s="310"/>
      <c r="I570" s="310"/>
      <c r="J570" s="310"/>
      <c r="K570" s="310"/>
    </row>
    <row r="571" spans="1:10" ht="9" customHeight="1">
      <c r="A571" s="296"/>
      <c r="B571" s="297"/>
      <c r="C571" s="298"/>
      <c r="D571" s="297"/>
      <c r="E571" s="297"/>
      <c r="F571" s="297"/>
      <c r="G571" s="297"/>
      <c r="H571" s="297"/>
      <c r="I571" s="297"/>
      <c r="J571" s="297"/>
    </row>
    <row r="572" spans="1:11" s="294" customFormat="1" ht="15.75" customHeight="1">
      <c r="A572" s="296"/>
      <c r="B572" s="311" t="s">
        <v>511</v>
      </c>
      <c r="C572" s="311"/>
      <c r="D572" s="311"/>
      <c r="E572" s="311"/>
      <c r="F572" s="311"/>
      <c r="G572" s="311"/>
      <c r="H572" s="311"/>
      <c r="I572" s="311"/>
      <c r="J572" s="311"/>
      <c r="K572" s="311"/>
    </row>
    <row r="573" spans="1:11" s="294" customFormat="1" ht="9" customHeight="1">
      <c r="A573" s="296"/>
      <c r="B573" s="299"/>
      <c r="C573" s="300"/>
      <c r="D573" s="299"/>
      <c r="E573" s="299"/>
      <c r="F573" s="299"/>
      <c r="G573" s="299"/>
      <c r="H573" s="299"/>
      <c r="I573" s="299"/>
      <c r="J573" s="299"/>
      <c r="K573" s="299"/>
    </row>
    <row r="574" spans="1:11" ht="14.25" customHeight="1">
      <c r="A574" s="308" t="s">
        <v>512</v>
      </c>
      <c r="B574" s="308"/>
      <c r="C574" s="308"/>
      <c r="D574" s="308"/>
      <c r="E574" s="308"/>
      <c r="F574" s="308"/>
      <c r="G574" s="308"/>
      <c r="H574" s="308"/>
      <c r="I574" s="308"/>
      <c r="J574" s="308"/>
      <c r="K574" s="308"/>
    </row>
    <row r="575" spans="1:11" ht="14.25" customHeight="1">
      <c r="A575" s="296"/>
      <c r="B575" s="308" t="s">
        <v>513</v>
      </c>
      <c r="C575" s="308"/>
      <c r="D575" s="308"/>
      <c r="E575" s="308"/>
      <c r="F575" s="308"/>
      <c r="G575" s="308"/>
      <c r="H575" s="308"/>
      <c r="I575" s="308"/>
      <c r="J575" s="308"/>
      <c r="K575" s="294"/>
    </row>
    <row r="576" spans="1:11" ht="10.5" customHeight="1">
      <c r="A576" s="296"/>
      <c r="B576" s="295"/>
      <c r="C576" s="295"/>
      <c r="D576" s="295"/>
      <c r="E576" s="295"/>
      <c r="F576" s="295"/>
      <c r="G576" s="295"/>
      <c r="H576" s="295"/>
      <c r="I576" s="295"/>
      <c r="J576" s="295"/>
      <c r="K576" s="294"/>
    </row>
    <row r="577" spans="1:10" ht="14.25" customHeight="1">
      <c r="A577" s="296"/>
      <c r="B577" s="312" t="s">
        <v>514</v>
      </c>
      <c r="C577" s="312"/>
      <c r="D577" s="312"/>
      <c r="E577" s="312"/>
      <c r="F577" s="312"/>
      <c r="G577" s="312"/>
      <c r="H577" s="312"/>
      <c r="I577" s="312"/>
      <c r="J577" s="312"/>
    </row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2">
    <mergeCell ref="B577:J577"/>
    <mergeCell ref="B568:J568"/>
    <mergeCell ref="A569:K569"/>
    <mergeCell ref="A570:K570"/>
    <mergeCell ref="B572:K572"/>
    <mergeCell ref="A574:K574"/>
    <mergeCell ref="B575:J575"/>
    <mergeCell ref="B406:B407"/>
    <mergeCell ref="D406:D407"/>
    <mergeCell ref="I406:J406"/>
    <mergeCell ref="K406:K407"/>
    <mergeCell ref="A565:K565"/>
    <mergeCell ref="B567:J567"/>
    <mergeCell ref="J1:K1"/>
    <mergeCell ref="B6:B7"/>
    <mergeCell ref="D6:D7"/>
    <mergeCell ref="I6:J6"/>
    <mergeCell ref="K6:K7"/>
    <mergeCell ref="B182:B183"/>
    <mergeCell ref="D182:D183"/>
    <mergeCell ref="I182:J182"/>
    <mergeCell ref="K182:K183"/>
  </mergeCells>
  <printOptions horizontalCentered="1"/>
  <pageMargins left="0.03958333333333333" right="0.03958333333333333" top="0.19652777777777777" bottom="0.19652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Безрукова</dc:creator>
  <cp:keywords/>
  <dc:description/>
  <cp:lastModifiedBy>Надежда Безрукова</cp:lastModifiedBy>
  <dcterms:created xsi:type="dcterms:W3CDTF">2024-01-22T11:18:59Z</dcterms:created>
  <dcterms:modified xsi:type="dcterms:W3CDTF">2024-01-22T11:25:44Z</dcterms:modified>
  <cp:category/>
  <cp:version/>
  <cp:contentType/>
  <cp:contentStatus/>
</cp:coreProperties>
</file>